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05" windowWidth="15090" windowHeight="825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<sst xmlns="http://schemas.openxmlformats.org/spreadsheetml/2006/main" count="51" uniqueCount="47">
  <si>
    <t>Energy and Work Equivalents</t>
  </si>
  <si>
    <t>Value to</t>
  </si>
  <si>
    <t xml:space="preserve">           INTO</t>
  </si>
  <si>
    <t>be converted</t>
  </si>
  <si>
    <t>FROM</t>
  </si>
  <si>
    <t>Joule</t>
  </si>
  <si>
    <t>Btu</t>
  </si>
  <si>
    <t>Calorie</t>
  </si>
  <si>
    <t>Kilowatt</t>
  </si>
  <si>
    <t>Kilogram</t>
  </si>
  <si>
    <t xml:space="preserve">   hour</t>
  </si>
  <si>
    <t>force meter</t>
  </si>
  <si>
    <t xml:space="preserve">     Terajoule</t>
  </si>
  <si>
    <t xml:space="preserve">     Therm</t>
  </si>
  <si>
    <t xml:space="preserve">     Millions of Btus</t>
  </si>
  <si>
    <t xml:space="preserve">     Billions of Btus</t>
  </si>
  <si>
    <t xml:space="preserve">     Quad</t>
  </si>
  <si>
    <t xml:space="preserve">     Kilocalorie</t>
  </si>
  <si>
    <t xml:space="preserve">     Thermie</t>
  </si>
  <si>
    <t xml:space="preserve">     Teracalorie</t>
  </si>
  <si>
    <t xml:space="preserve">     Megawatt hour</t>
  </si>
  <si>
    <t xml:space="preserve">     Gigawatt hour</t>
  </si>
  <si>
    <t xml:space="preserve">     Terawatt hour</t>
  </si>
  <si>
    <t>Foot pound</t>
  </si>
  <si>
    <t>Kilogram force meter</t>
  </si>
  <si>
    <t>Horsepower hour</t>
  </si>
  <si>
    <t>Metric hp hour</t>
  </si>
  <si>
    <t xml:space="preserve">Source: Energy Statistics: Definitions, Units of Measure and Conversion Factors, United Nations Publication </t>
  </si>
  <si>
    <t xml:space="preserve">     Studies in Methods, Series F, No. 44, 1987, Table 4, p. 21</t>
  </si>
  <si>
    <t>Gasoline</t>
  </si>
  <si>
    <t xml:space="preserve">     Gallon</t>
  </si>
  <si>
    <t xml:space="preserve">     Barrel</t>
  </si>
  <si>
    <t xml:space="preserve">   </t>
  </si>
  <si>
    <t>Source: Energy Interrelationships, Federal Energy Administration, FEA/B-77/166, June 1977</t>
  </si>
  <si>
    <t>Source: Monthly Energy Review, Energy Information Administration, Appendix A "Thermal conversion Factors",</t>
  </si>
  <si>
    <t>Crude Oil</t>
  </si>
  <si>
    <t xml:space="preserve">     Full Gas Tank</t>
  </si>
  <si>
    <t xml:space="preserve">     Gigajoule</t>
  </si>
  <si>
    <t xml:space="preserve">           : Energy Interrelationships, June 1977, Federal energy Administration, FEA/B-77/166</t>
  </si>
  <si>
    <t xml:space="preserve">     Ton (2000 lbs)</t>
  </si>
  <si>
    <t>Natural Gas</t>
  </si>
  <si>
    <t>Electricity</t>
  </si>
  <si>
    <t xml:space="preserve">     Million Cubic Feet</t>
  </si>
  <si>
    <t>Coal ~ = +-</t>
  </si>
  <si>
    <t xml:space="preserve">     Kilowatthour</t>
  </si>
  <si>
    <t xml:space="preserve">              Sept. 2002, p. 161 and the EIA State Energy Data Report, 1999</t>
  </si>
  <si>
    <t>As of 12/13/04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</si>
</sst>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E+00"/>
    <numFmt numFmtId="165" formatCode="0.0000E+00"/>
    <numFmt numFmtId="166" formatCode="0.0000"/>
    <numFmt numFmtId="167" formatCode="0.0"/>
    <numFmt numFmtId="168" formatCode="0.00000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color indexed="39"/>
      <name val="Times New Roman"/>
      <family val="1"/>
    </font>
    <font>
      <b/>
      <sz val="10"/>
      <color indexed="17"/>
      <name val="Times New Roman"/>
      <family val="1"/>
    </font>
    <font>
      <b/>
      <sz val="12"/>
      <color indexed="39"/>
      <name val="Arial"/>
      <family val="2"/>
    </font>
    <font>
      <b/>
      <sz val="12"/>
      <color indexed="17"/>
      <name val="Arial"/>
      <family val="2"/>
    </font>
    <font>
      <b/>
      <sz val="12"/>
      <name val="Arial"/>
      <family val="2"/>
    </font>
    <font>
      <b/>
      <sz val="12"/>
      <color indexed="56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165" fontId="0" fillId="0" borderId="0" xfId="0" applyNumberFormat="1" applyAlignment="1">
      <alignment/>
    </xf>
    <xf numFmtId="0" fontId="0" fillId="0" borderId="0" xfId="0" applyFont="1" applyAlignment="1">
      <alignment/>
    </xf>
    <xf numFmtId="166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65" fontId="8" fillId="0" borderId="0" xfId="0" applyNumberFormat="1" applyFont="1" applyAlignment="1">
      <alignment/>
    </xf>
    <xf numFmtId="166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 horizontal="right"/>
    </xf>
    <xf numFmtId="0" fontId="1" fillId="0" borderId="0" xfId="0" applyFont="1" applyAlignment="1">
      <alignment/>
    </xf>
    <xf numFmtId="167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68" fontId="1" fillId="0" borderId="0" xfId="0" applyNumberFormat="1" applyFont="1" applyAlignment="1">
      <alignment/>
    </xf>
    <xf numFmtId="166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4"/>
  <sheetViews>
    <sheetView tabSelected="1" workbookViewId="0" topLeftCell="A1">
      <pane ySplit="6" topLeftCell="BM7" activePane="bottomLeft" state="frozen"/>
      <selection pane="topLeft" activeCell="A1" sqref="A1"/>
      <selection pane="bottomLeft" activeCell="G1" sqref="G1"/>
    </sheetView>
  </sheetViews>
  <sheetFormatPr defaultColWidth="9.140625" defaultRowHeight="12.75"/>
  <cols>
    <col min="1" max="1" width="23.7109375" style="0" customWidth="1"/>
    <col min="2" max="2" width="10.140625" style="0" customWidth="1"/>
    <col min="3" max="3" width="13.00390625" style="0" bestFit="1" customWidth="1"/>
    <col min="4" max="4" width="13.140625" style="0" customWidth="1"/>
    <col min="5" max="5" width="13.8515625" style="0" customWidth="1"/>
    <col min="6" max="6" width="13.140625" style="0" customWidth="1"/>
    <col min="7" max="7" width="13.7109375" style="0" customWidth="1"/>
  </cols>
  <sheetData>
    <row r="1" spans="1:7" s="10" customFormat="1" ht="15.75">
      <c r="A1" s="6" t="s">
        <v>0</v>
      </c>
      <c r="G1" s="10" t="s">
        <v>46</v>
      </c>
    </row>
    <row r="2" s="10" customFormat="1" ht="15.75">
      <c r="A2" s="6"/>
    </row>
    <row r="3" spans="1:7" s="10" customFormat="1" ht="15.75">
      <c r="A3" s="6"/>
      <c r="B3" s="6" t="s">
        <v>1</v>
      </c>
      <c r="C3" s="6" t="s">
        <v>2</v>
      </c>
      <c r="D3" s="6"/>
      <c r="E3" s="6"/>
      <c r="F3" s="6"/>
      <c r="G3" s="6"/>
    </row>
    <row r="4" spans="1:7" s="10" customFormat="1" ht="15.75">
      <c r="A4" s="6"/>
      <c r="B4" s="6" t="s">
        <v>3</v>
      </c>
      <c r="C4" s="6"/>
      <c r="D4" s="6"/>
      <c r="E4" s="6"/>
      <c r="F4" s="6"/>
      <c r="G4" s="6"/>
    </row>
    <row r="5" spans="1:7" s="10" customFormat="1" ht="15.75">
      <c r="A5" s="6" t="s">
        <v>4</v>
      </c>
      <c r="B5" s="6"/>
      <c r="C5" s="12" t="s">
        <v>5</v>
      </c>
      <c r="D5" s="12" t="s">
        <v>6</v>
      </c>
      <c r="E5" s="12" t="s">
        <v>7</v>
      </c>
      <c r="F5" s="12" t="s">
        <v>8</v>
      </c>
      <c r="G5" s="12" t="s">
        <v>9</v>
      </c>
    </row>
    <row r="6" spans="1:7" s="10" customFormat="1" ht="15.75">
      <c r="A6" s="6"/>
      <c r="B6" s="6"/>
      <c r="C6" s="12"/>
      <c r="D6" s="12"/>
      <c r="E6" s="12"/>
      <c r="F6" s="12" t="s">
        <v>10</v>
      </c>
      <c r="G6" s="12" t="s">
        <v>11</v>
      </c>
    </row>
    <row r="7" spans="1:7" ht="15.75">
      <c r="A7" s="6" t="s">
        <v>5</v>
      </c>
      <c r="B7" s="13">
        <v>1</v>
      </c>
      <c r="C7" s="14">
        <f>+B7*1</f>
        <v>1</v>
      </c>
      <c r="D7" s="15">
        <f>+B7*0.0009478</f>
        <v>0.0009478</v>
      </c>
      <c r="E7" s="16">
        <f>+B7*0.23884</f>
        <v>0.23884</v>
      </c>
      <c r="F7" s="15">
        <f>+B7*0.0000002777</f>
        <v>2.777E-07</v>
      </c>
      <c r="G7" s="16">
        <f>+B7*0.10197</f>
        <v>0.10197</v>
      </c>
    </row>
    <row r="8" spans="1:7" ht="15.75">
      <c r="A8" s="6" t="s">
        <v>37</v>
      </c>
      <c r="B8" s="13">
        <v>1</v>
      </c>
      <c r="C8" s="15">
        <f>+B8*1000000000</f>
        <v>1000000000</v>
      </c>
      <c r="D8" s="15">
        <f>+B8*947800</f>
        <v>947800</v>
      </c>
      <c r="E8" s="15">
        <f>+B8*238840000</f>
        <v>238840000</v>
      </c>
      <c r="F8" s="14">
        <f>+B8*277.7</f>
        <v>277.7</v>
      </c>
      <c r="G8" s="15">
        <f>+B8*101970000</f>
        <v>101970000</v>
      </c>
    </row>
    <row r="9" spans="1:7" ht="15.75">
      <c r="A9" s="6" t="s">
        <v>12</v>
      </c>
      <c r="B9" s="13">
        <v>1</v>
      </c>
      <c r="C9" s="15">
        <f>+B9*1000000000000</f>
        <v>1000000000000</v>
      </c>
      <c r="D9" s="15">
        <f>+B9*947800000</f>
        <v>947800000</v>
      </c>
      <c r="E9" s="15">
        <f>+B9*238840000000</f>
        <v>238840000000</v>
      </c>
      <c r="F9" s="15">
        <f>+B9*277700</f>
        <v>277700</v>
      </c>
      <c r="G9" s="15">
        <f>+B9*101970000000</f>
        <v>101970000000</v>
      </c>
    </row>
    <row r="10" spans="1:7" ht="15.75">
      <c r="A10" s="6"/>
      <c r="B10" s="13"/>
      <c r="C10" s="15"/>
      <c r="D10" s="15"/>
      <c r="E10" s="15"/>
      <c r="F10" s="15"/>
      <c r="G10" s="15"/>
    </row>
    <row r="11" spans="1:11" ht="15.75">
      <c r="A11" s="6" t="s">
        <v>6</v>
      </c>
      <c r="B11" s="13">
        <v>1</v>
      </c>
      <c r="C11" s="15">
        <f>+B11*1055.1</f>
        <v>1055.1</v>
      </c>
      <c r="D11" s="14">
        <f>+B11*1</f>
        <v>1</v>
      </c>
      <c r="E11" s="14">
        <f>+B11*252</f>
        <v>252</v>
      </c>
      <c r="F11" s="15">
        <f>+B11*0.000293071</f>
        <v>0.000293071</v>
      </c>
      <c r="G11" s="14">
        <f>+B11*107.6</f>
        <v>107.6</v>
      </c>
      <c r="H11" s="2"/>
      <c r="I11" s="2"/>
      <c r="J11" s="2"/>
      <c r="K11" s="2"/>
    </row>
    <row r="12" spans="1:7" ht="15.75">
      <c r="A12" s="6" t="s">
        <v>13</v>
      </c>
      <c r="B12" s="13">
        <v>1</v>
      </c>
      <c r="C12" s="15">
        <f>+B12*105510000</f>
        <v>105510000</v>
      </c>
      <c r="D12" s="15">
        <f>+B12*100000</f>
        <v>100000</v>
      </c>
      <c r="E12" s="15">
        <f>+B12*25200000</f>
        <v>25200000</v>
      </c>
      <c r="F12" s="17">
        <f>+B12*29.3071</f>
        <v>29.3071</v>
      </c>
      <c r="G12" s="15">
        <f>+B12*10760000</f>
        <v>10760000</v>
      </c>
    </row>
    <row r="13" spans="1:7" ht="15.75">
      <c r="A13" s="6" t="s">
        <v>14</v>
      </c>
      <c r="B13" s="13">
        <v>1</v>
      </c>
      <c r="C13" s="15">
        <f>+B13*1055100000</f>
        <v>1055100000</v>
      </c>
      <c r="D13" s="15">
        <f>+B13*1000000</f>
        <v>1000000</v>
      </c>
      <c r="E13" s="15">
        <f>+B13*252000000</f>
        <v>252000000</v>
      </c>
      <c r="F13" s="17">
        <f>+B13*293.071</f>
        <v>293.071</v>
      </c>
      <c r="G13" s="15">
        <f>+B13*107600000</f>
        <v>107600000</v>
      </c>
    </row>
    <row r="14" spans="1:7" ht="15.75">
      <c r="A14" s="6" t="s">
        <v>15</v>
      </c>
      <c r="B14" s="13">
        <v>1</v>
      </c>
      <c r="C14" s="15">
        <f>+B14*1055100000000</f>
        <v>1055100000000</v>
      </c>
      <c r="D14" s="15">
        <f>+B14*1000000000</f>
        <v>1000000000</v>
      </c>
      <c r="E14" s="15">
        <f>+B14*252000000000</f>
        <v>252000000000</v>
      </c>
      <c r="F14" s="17">
        <f>+B14*293071</f>
        <v>293071</v>
      </c>
      <c r="G14" s="15">
        <f>+B14*107600000000</f>
        <v>107600000000</v>
      </c>
    </row>
    <row r="15" spans="1:7" ht="15.75">
      <c r="A15" s="6" t="s">
        <v>16</v>
      </c>
      <c r="B15" s="13">
        <v>1</v>
      </c>
      <c r="C15" s="15">
        <f>+B15*1055100000000000000</f>
        <v>1.0551E+18</v>
      </c>
      <c r="D15" s="15">
        <f>+B15*1000000000000000</f>
        <v>1000000000000000</v>
      </c>
      <c r="E15" s="15">
        <f>+B15*252000000000000000</f>
        <v>2.52E+17</v>
      </c>
      <c r="F15" s="15">
        <f>+B15*293071*1000000</f>
        <v>293071000000</v>
      </c>
      <c r="G15" s="15">
        <f>+B15*107600000000000000</f>
        <v>1.076E+17</v>
      </c>
    </row>
    <row r="16" spans="1:7" ht="15.75">
      <c r="A16" s="6"/>
      <c r="B16" s="13"/>
      <c r="C16" s="15"/>
      <c r="D16" s="15"/>
      <c r="E16" s="15"/>
      <c r="F16" s="15"/>
      <c r="G16" s="15"/>
    </row>
    <row r="17" spans="1:7" ht="15.75">
      <c r="A17" s="6" t="s">
        <v>29</v>
      </c>
      <c r="B17" s="13"/>
      <c r="C17" s="15"/>
      <c r="D17" s="15"/>
      <c r="E17" s="15"/>
      <c r="F17" s="15"/>
      <c r="G17" s="15"/>
    </row>
    <row r="18" spans="1:7" ht="15.75">
      <c r="A18" s="6" t="s">
        <v>36</v>
      </c>
      <c r="B18" s="13">
        <v>1</v>
      </c>
      <c r="C18" s="15">
        <f>+B18*12*1055.1*5211000/42</f>
        <v>1570893171.4285712</v>
      </c>
      <c r="D18" s="15">
        <f>+B18*12*5211000/42</f>
        <v>1488857.142857143</v>
      </c>
      <c r="E18" s="15">
        <f>+B18*12*252*5211000/42</f>
        <v>375192000</v>
      </c>
      <c r="F18" s="15">
        <f>+B18*12*0.000293071*5211000/42</f>
        <v>436.34085171428575</v>
      </c>
      <c r="G18" s="15">
        <f>+B18*12*107.6*5211000/42</f>
        <v>160201028.57142854</v>
      </c>
    </row>
    <row r="19" spans="1:7" ht="15.75">
      <c r="A19" s="6" t="s">
        <v>30</v>
      </c>
      <c r="B19" s="13">
        <v>1</v>
      </c>
      <c r="C19" s="15">
        <f>+B19*1055.1*5211000/42</f>
        <v>130907764.28571428</v>
      </c>
      <c r="D19" s="15">
        <f>+B19*5211000/42</f>
        <v>124071.42857142857</v>
      </c>
      <c r="E19" s="15">
        <f>+B19*252*5211000/42</f>
        <v>31266000</v>
      </c>
      <c r="F19" s="15">
        <f>+B19*0.000293071*5211000/42</f>
        <v>36.36173764285714</v>
      </c>
      <c r="G19" s="15">
        <f>+B19*107.6*5211000/42</f>
        <v>13350085.714285715</v>
      </c>
    </row>
    <row r="20" spans="1:7" ht="15.75">
      <c r="A20" s="6" t="s">
        <v>31</v>
      </c>
      <c r="B20" s="13">
        <v>1</v>
      </c>
      <c r="C20" s="15">
        <f>+B20*1055.1*5211000</f>
        <v>5498126100</v>
      </c>
      <c r="D20" s="15">
        <f>+B20*5211000</f>
        <v>5211000</v>
      </c>
      <c r="E20" s="15">
        <f>+B20*252*5211000</f>
        <v>1313172000</v>
      </c>
      <c r="F20" s="15">
        <f>+B20*0.000293071*5211000</f>
        <v>1527.192981</v>
      </c>
      <c r="G20" s="15">
        <f>+B20*107.6*5211000</f>
        <v>560703600</v>
      </c>
    </row>
    <row r="21" spans="1:7" ht="15.75">
      <c r="A21" s="6"/>
      <c r="B21" s="13"/>
      <c r="C21" s="13"/>
      <c r="D21" s="15"/>
      <c r="E21" s="15"/>
      <c r="F21" s="15"/>
      <c r="G21" s="15"/>
    </row>
    <row r="22" spans="1:7" ht="15.75">
      <c r="A22" s="6" t="s">
        <v>35</v>
      </c>
      <c r="B22" s="13"/>
      <c r="C22" s="13"/>
      <c r="D22" s="15"/>
      <c r="E22" s="15"/>
      <c r="F22" s="15"/>
      <c r="G22" s="15"/>
    </row>
    <row r="23" spans="1:7" ht="15.75">
      <c r="A23" s="6" t="s">
        <v>31</v>
      </c>
      <c r="B23" s="13">
        <v>1</v>
      </c>
      <c r="C23" s="15">
        <f>+B23*1055.1*5800000</f>
        <v>6119579999.999999</v>
      </c>
      <c r="D23" s="15">
        <f>+B23*5800000</f>
        <v>5800000</v>
      </c>
      <c r="E23" s="15">
        <f>+B23*252*5800000</f>
        <v>1461600000</v>
      </c>
      <c r="F23" s="15">
        <f>+B23*0.000293071*5800000</f>
        <v>1699.8118</v>
      </c>
      <c r="G23" s="15">
        <f>+B23*107.6*5800000</f>
        <v>624080000</v>
      </c>
    </row>
    <row r="24" spans="1:7" ht="15.75">
      <c r="A24" s="6"/>
      <c r="B24" s="13"/>
      <c r="C24" s="15"/>
      <c r="D24" s="15"/>
      <c r="E24" s="15"/>
      <c r="F24" s="15"/>
      <c r="G24" s="15"/>
    </row>
    <row r="25" spans="1:7" ht="15.75">
      <c r="A25" s="6" t="s">
        <v>43</v>
      </c>
      <c r="B25" s="13"/>
      <c r="C25" s="15"/>
      <c r="D25" s="15"/>
      <c r="E25" s="15"/>
      <c r="F25" s="15"/>
      <c r="G25" s="15"/>
    </row>
    <row r="26" spans="1:7" ht="15.75">
      <c r="A26" s="6" t="s">
        <v>39</v>
      </c>
      <c r="B26" s="13">
        <v>1</v>
      </c>
      <c r="C26" s="15">
        <f>+B26*1055.1*20753000</f>
        <v>21896490300</v>
      </c>
      <c r="D26" s="15">
        <f>B26*20753000</f>
        <v>20753000</v>
      </c>
      <c r="E26" s="15">
        <f>+B26*252*20753000</f>
        <v>5229756000</v>
      </c>
      <c r="F26" s="15">
        <f>+B26*0.000293071*20753000</f>
        <v>6082.102463</v>
      </c>
      <c r="G26" s="15">
        <f>+B26*107.6*20753000</f>
        <v>2233022800</v>
      </c>
    </row>
    <row r="27" spans="1:7" ht="15.75">
      <c r="A27" s="6"/>
      <c r="B27" s="13"/>
      <c r="C27" s="15"/>
      <c r="D27" s="15"/>
      <c r="E27" s="15"/>
      <c r="F27" s="15"/>
      <c r="G27" s="15"/>
    </row>
    <row r="28" spans="1:7" ht="15.75">
      <c r="A28" s="6" t="s">
        <v>40</v>
      </c>
      <c r="B28" s="13"/>
      <c r="C28" s="15"/>
      <c r="D28" s="15"/>
      <c r="E28" s="15"/>
      <c r="F28" s="15"/>
      <c r="G28" s="15"/>
    </row>
    <row r="29" spans="1:7" ht="15.75">
      <c r="A29" s="6" t="s">
        <v>42</v>
      </c>
      <c r="B29" s="13">
        <v>1</v>
      </c>
      <c r="C29" s="15">
        <f>+B29*1055.1*1026000000</f>
        <v>1082532599999.9999</v>
      </c>
      <c r="D29" s="15">
        <f>B29*1026000000</f>
        <v>1026000000</v>
      </c>
      <c r="E29" s="15">
        <f>+B29*252*1026000000</f>
        <v>258552000000</v>
      </c>
      <c r="F29" s="15">
        <f>+B29*0.00000293071*1026000000</f>
        <v>3006.90846</v>
      </c>
      <c r="G29" s="15">
        <f>+B29*107.6*1026000000</f>
        <v>110397600000</v>
      </c>
    </row>
    <row r="30" spans="1:7" ht="15.75">
      <c r="A30" s="6"/>
      <c r="B30" s="13"/>
      <c r="C30" s="15"/>
      <c r="D30" s="15"/>
      <c r="E30" s="15"/>
      <c r="F30" s="15"/>
      <c r="G30" s="15"/>
    </row>
    <row r="31" spans="1:7" ht="15.75">
      <c r="A31" s="6" t="s">
        <v>7</v>
      </c>
      <c r="B31" s="13">
        <v>1</v>
      </c>
      <c r="C31" s="17">
        <f>+B31*4.1868</f>
        <v>4.1868</v>
      </c>
      <c r="D31" s="15">
        <f>+B31*0.003968</f>
        <v>0.003968</v>
      </c>
      <c r="E31" s="14">
        <f>+B31*1</f>
        <v>1</v>
      </c>
      <c r="F31" s="15">
        <f>+B31*0.000001163</f>
        <v>1.163E-06</v>
      </c>
      <c r="G31" s="17">
        <f>+B31*0.4269</f>
        <v>0.4269</v>
      </c>
    </row>
    <row r="32" spans="1:7" ht="15.75">
      <c r="A32" s="6" t="s">
        <v>17</v>
      </c>
      <c r="B32" s="13">
        <v>1</v>
      </c>
      <c r="C32" s="15">
        <f>+B32*4186.8</f>
        <v>4186.8</v>
      </c>
      <c r="D32" s="17">
        <f>+B32*3.968</f>
        <v>3.968</v>
      </c>
      <c r="E32" s="15">
        <f>+B32*1000</f>
        <v>1000</v>
      </c>
      <c r="F32" s="15">
        <f>+B32*0.001163</f>
        <v>0.001163</v>
      </c>
      <c r="G32" s="14">
        <f>+B32*426.9</f>
        <v>426.9</v>
      </c>
    </row>
    <row r="33" spans="1:7" ht="15.75">
      <c r="A33" s="6" t="s">
        <v>18</v>
      </c>
      <c r="B33" s="13">
        <v>1</v>
      </c>
      <c r="C33" s="15">
        <f>+B33*4186800</f>
        <v>4186800</v>
      </c>
      <c r="D33" s="15">
        <f>+B33*3968</f>
        <v>3968</v>
      </c>
      <c r="E33" s="15">
        <f>+B33*1000000</f>
        <v>1000000</v>
      </c>
      <c r="F33" s="17">
        <f>+B33*1.163</f>
        <v>1.163</v>
      </c>
      <c r="G33" s="15">
        <f>+B33*426900</f>
        <v>426900</v>
      </c>
    </row>
    <row r="34" spans="1:7" ht="15.75">
      <c r="A34" s="6" t="s">
        <v>19</v>
      </c>
      <c r="B34" s="13">
        <v>1</v>
      </c>
      <c r="C34" s="15">
        <f>+B34*4186800000000</f>
        <v>4186800000000</v>
      </c>
      <c r="D34" s="15">
        <f>+B34*3968000000</f>
        <v>3968000000</v>
      </c>
      <c r="E34" s="15">
        <f>+B34*1000000000000</f>
        <v>1000000000000</v>
      </c>
      <c r="F34" s="15">
        <f>+B34*1163000</f>
        <v>1163000</v>
      </c>
      <c r="G34" s="15">
        <f>+B34*426900000000</f>
        <v>426900000000</v>
      </c>
    </row>
    <row r="35" spans="1:7" ht="15.75">
      <c r="A35" s="6"/>
      <c r="B35" s="13"/>
      <c r="C35" s="15"/>
      <c r="D35" s="15"/>
      <c r="E35" s="15"/>
      <c r="F35" s="15"/>
      <c r="G35" s="15"/>
    </row>
    <row r="36" spans="1:7" ht="15.75">
      <c r="A36" s="6" t="s">
        <v>41</v>
      </c>
      <c r="B36" s="13"/>
      <c r="C36" s="15"/>
      <c r="D36" s="15"/>
      <c r="E36" s="15"/>
      <c r="F36" s="15"/>
      <c r="G36" s="15"/>
    </row>
    <row r="37" spans="1:7" ht="15.75">
      <c r="A37" s="6" t="s">
        <v>44</v>
      </c>
      <c r="B37" s="13">
        <v>1</v>
      </c>
      <c r="C37" s="15">
        <f>+B37*3600000</f>
        <v>3600000</v>
      </c>
      <c r="D37" s="14">
        <f>+B37*3412</f>
        <v>3412</v>
      </c>
      <c r="E37" s="15">
        <f>+B37*860000</f>
        <v>860000</v>
      </c>
      <c r="F37" s="14">
        <f>+B37*1</f>
        <v>1</v>
      </c>
      <c r="G37" s="15">
        <f>+B37*367100</f>
        <v>367100</v>
      </c>
    </row>
    <row r="38" spans="1:7" ht="15.75">
      <c r="A38" s="6" t="s">
        <v>20</v>
      </c>
      <c r="B38" s="13">
        <v>1</v>
      </c>
      <c r="C38" s="15">
        <f>+B38*3600000000</f>
        <v>3600000000</v>
      </c>
      <c r="D38" s="15">
        <f>+B38*3412000</f>
        <v>3412000</v>
      </c>
      <c r="E38" s="15">
        <f>+B38*860000000</f>
        <v>860000000</v>
      </c>
      <c r="F38" s="15">
        <f>+B38*1000</f>
        <v>1000</v>
      </c>
      <c r="G38" s="15">
        <f>+B38*367100000</f>
        <v>367100000</v>
      </c>
    </row>
    <row r="39" spans="1:7" ht="15.75">
      <c r="A39" s="6" t="s">
        <v>21</v>
      </c>
      <c r="B39" s="13">
        <v>1</v>
      </c>
      <c r="C39" s="15">
        <f>+B39*3600000000000</f>
        <v>3600000000000</v>
      </c>
      <c r="D39" s="15">
        <f>+B39*3412000000</f>
        <v>3412000000</v>
      </c>
      <c r="E39" s="15">
        <f>+B39*860000000000</f>
        <v>860000000000</v>
      </c>
      <c r="F39" s="15">
        <f>+B39*1000000</f>
        <v>1000000</v>
      </c>
      <c r="G39" s="15">
        <f>+B39*367100000000</f>
        <v>367100000000</v>
      </c>
    </row>
    <row r="40" spans="1:7" ht="15.75">
      <c r="A40" s="6" t="s">
        <v>22</v>
      </c>
      <c r="B40" s="13">
        <v>1</v>
      </c>
      <c r="C40" s="15">
        <f>+B40*3600000000000000</f>
        <v>3600000000000000</v>
      </c>
      <c r="D40" s="15">
        <f>+B40*3412000000000</f>
        <v>3412000000000</v>
      </c>
      <c r="E40" s="15">
        <f>+B40*860000000000000</f>
        <v>860000000000000</v>
      </c>
      <c r="F40" s="15">
        <f>+B40*1000000000</f>
        <v>1000000000</v>
      </c>
      <c r="G40" s="15">
        <f>+B40*367100000000000</f>
        <v>367100000000000</v>
      </c>
    </row>
    <row r="41" spans="1:7" ht="15.75">
      <c r="A41" s="6"/>
      <c r="B41" s="13"/>
      <c r="C41" s="15"/>
      <c r="D41" s="15"/>
      <c r="E41" s="15"/>
      <c r="F41" s="15"/>
      <c r="G41" s="15"/>
    </row>
    <row r="42" spans="1:7" ht="15.75">
      <c r="A42" s="6" t="s">
        <v>23</v>
      </c>
      <c r="B42" s="13">
        <v>1</v>
      </c>
      <c r="C42" s="17">
        <f>+B42*1.3558</f>
        <v>1.3558</v>
      </c>
      <c r="D42" s="15">
        <f>+B42*0.001285</f>
        <v>0.001285</v>
      </c>
      <c r="E42" s="17">
        <f>+B42*0.3238</f>
        <v>0.3238</v>
      </c>
      <c r="F42" s="15">
        <f>+B42*0.0000003766</f>
        <v>3.766E-07</v>
      </c>
      <c r="G42" s="16">
        <f>+B42*0.13825</f>
        <v>0.13825</v>
      </c>
    </row>
    <row r="43" spans="1:7" ht="15.75">
      <c r="A43" s="6"/>
      <c r="B43" s="13"/>
      <c r="C43" s="17"/>
      <c r="D43" s="15"/>
      <c r="E43" s="17"/>
      <c r="F43" s="15"/>
      <c r="G43" s="16"/>
    </row>
    <row r="44" spans="1:14" ht="15.75">
      <c r="A44" s="6" t="s">
        <v>24</v>
      </c>
      <c r="B44" s="13">
        <v>1</v>
      </c>
      <c r="C44" s="17">
        <f>+B44*9.807</f>
        <v>9.807</v>
      </c>
      <c r="D44" s="15">
        <f>+B44*0.009295</f>
        <v>0.009295</v>
      </c>
      <c r="E44" s="17">
        <f>+B44*2.342</f>
        <v>2.342</v>
      </c>
      <c r="F44" s="15">
        <f>+B44*0.000002724</f>
        <v>2.724E-06</v>
      </c>
      <c r="G44" s="17">
        <f>+B44*1</f>
        <v>1</v>
      </c>
      <c r="N44">
        <v>1</v>
      </c>
    </row>
    <row r="45" spans="1:7" ht="15.75">
      <c r="A45" s="6" t="s">
        <v>25</v>
      </c>
      <c r="B45" s="13">
        <v>1</v>
      </c>
      <c r="C45" s="15">
        <f>+B45*2684500</f>
        <v>2684500</v>
      </c>
      <c r="D45" s="17">
        <f>+B45*2544.43</f>
        <v>2544.43</v>
      </c>
      <c r="E45" s="15">
        <f>+B45*641200</f>
        <v>641200</v>
      </c>
      <c r="F45" s="17">
        <f>+B45*0.7457</f>
        <v>0.7457</v>
      </c>
      <c r="G45" s="15">
        <f>+B45*273700</f>
        <v>273700</v>
      </c>
    </row>
    <row r="46" spans="1:7" ht="15.75">
      <c r="A46" s="6" t="s">
        <v>26</v>
      </c>
      <c r="B46" s="13">
        <v>1</v>
      </c>
      <c r="C46" s="15">
        <f>+B46*26478</f>
        <v>26478</v>
      </c>
      <c r="D46" s="17">
        <f>+B46*2509.62</f>
        <v>2509.62</v>
      </c>
      <c r="E46" s="15">
        <f>+B46*632400</f>
        <v>632400</v>
      </c>
      <c r="F46" s="17">
        <f>+B46*0.7355</f>
        <v>0.7355</v>
      </c>
      <c r="G46" s="15">
        <f>+B46*270000</f>
        <v>270000</v>
      </c>
    </row>
    <row r="47" spans="1:7" ht="15.75">
      <c r="A47" s="4"/>
      <c r="B47" s="5"/>
      <c r="C47" s="1"/>
      <c r="D47" s="3"/>
      <c r="E47" s="1"/>
      <c r="F47" s="3"/>
      <c r="G47" s="1"/>
    </row>
    <row r="48" spans="1:7" s="10" customFormat="1" ht="15.75">
      <c r="A48" s="10" t="s">
        <v>34</v>
      </c>
      <c r="B48" s="7"/>
      <c r="C48" s="8"/>
      <c r="D48" s="9"/>
      <c r="E48" s="8"/>
      <c r="F48" s="9"/>
      <c r="G48" s="8"/>
    </row>
    <row r="49" spans="1:7" s="10" customFormat="1" ht="15.75">
      <c r="A49" s="10" t="s">
        <v>45</v>
      </c>
      <c r="B49" s="7"/>
      <c r="C49" s="8"/>
      <c r="D49" s="9"/>
      <c r="E49" s="8"/>
      <c r="F49" s="9"/>
      <c r="G49" s="8"/>
    </row>
    <row r="50" s="10" customFormat="1" ht="15.75">
      <c r="A50" s="10" t="s">
        <v>33</v>
      </c>
    </row>
    <row r="51" s="10" customFormat="1" ht="15.75">
      <c r="A51" s="10" t="s">
        <v>27</v>
      </c>
    </row>
    <row r="52" s="10" customFormat="1" ht="15.75">
      <c r="A52" s="10" t="s">
        <v>28</v>
      </c>
    </row>
    <row r="53" s="11" customFormat="1" ht="15.75">
      <c r="A53" s="10" t="s">
        <v>38</v>
      </c>
    </row>
    <row r="54" ht="12.75">
      <c r="A54" t="s">
        <v>32</v>
      </c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Disbrow</dc:creator>
  <cp:keywords/>
  <dc:description/>
  <cp:lastModifiedBy>courtna</cp:lastModifiedBy>
  <cp:lastPrinted>1998-11-05T14:18:07Z</cp:lastPrinted>
  <dcterms:created xsi:type="dcterms:W3CDTF">1999-11-09T13:38:52Z</dcterms:created>
  <dcterms:modified xsi:type="dcterms:W3CDTF">2005-04-08T03:01:37Z</dcterms:modified>
  <cp:category/>
  <cp:version/>
  <cp:contentType/>
  <cp:contentStatus/>
</cp:coreProperties>
</file>