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Tuition Projection FY 19" sheetId="2" r:id="rId1"/>
    <sheet name="Tuition Analysis (2)" sheetId="3" r:id="rId2"/>
    <sheet name="Tuition Revenue Projection" sheetId="1" r:id="rId3"/>
  </sheets>
  <externalReferences>
    <externalReference r:id="rId4"/>
  </externalReferences>
  <definedNames>
    <definedName name="_Order1">255</definedName>
    <definedName name="_Regression_Int">1</definedName>
    <definedName name="_xlnm.Print_Area" localSheetId="1">'Tuition Analysis (2)'!$A$1:$BJ$116</definedName>
    <definedName name="_xlnm.Print_Titles" localSheetId="1">'Tuition Analysis (2)'!$1:$5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" i="3" l="1"/>
  <c r="AC2" i="3"/>
  <c r="AA20" i="3" l="1"/>
  <c r="Y6" i="3"/>
  <c r="H2" i="3" l="1"/>
  <c r="K2" i="3"/>
  <c r="N2" i="3"/>
  <c r="Q2" i="3"/>
  <c r="W2" i="3"/>
  <c r="Z2" i="3"/>
  <c r="G4" i="3"/>
  <c r="J4" i="3"/>
  <c r="M4" i="3" s="1"/>
  <c r="P4" i="3" s="1"/>
  <c r="S4" i="3" s="1"/>
  <c r="V4" i="3" s="1"/>
  <c r="D6" i="3"/>
  <c r="G6" i="3"/>
  <c r="J6" i="3"/>
  <c r="M6" i="3"/>
  <c r="Q6" i="3"/>
  <c r="T2" i="3" s="1"/>
  <c r="S6" i="3"/>
  <c r="X6" i="3"/>
  <c r="V6" i="3" s="1"/>
  <c r="AB6" i="3"/>
  <c r="AJ6" i="3"/>
  <c r="AM6" i="3"/>
  <c r="AR6" i="3"/>
  <c r="AT6" i="3" s="1"/>
  <c r="AS6" i="3"/>
  <c r="BB6" i="3"/>
  <c r="BE6" i="3" s="1"/>
  <c r="BD6" i="3"/>
  <c r="BD22" i="3" s="1"/>
  <c r="D7" i="3"/>
  <c r="G7" i="3"/>
  <c r="J7" i="3"/>
  <c r="M7" i="3"/>
  <c r="P7" i="3"/>
  <c r="G8" i="3"/>
  <c r="J8" i="3"/>
  <c r="M8" i="3"/>
  <c r="Q8" i="3"/>
  <c r="Q42" i="3" s="1"/>
  <c r="P42" i="3" s="1"/>
  <c r="U8" i="3"/>
  <c r="X8" i="3"/>
  <c r="V8" i="3" s="1"/>
  <c r="J9" i="3"/>
  <c r="M9" i="3"/>
  <c r="Q9" i="3"/>
  <c r="P9" i="3" s="1"/>
  <c r="U9" i="3"/>
  <c r="S9" i="3" s="1"/>
  <c r="X9" i="3"/>
  <c r="V9" i="3" s="1"/>
  <c r="Y9" i="3"/>
  <c r="AB9" i="3"/>
  <c r="AJ9" i="3"/>
  <c r="AV9" i="3" s="1"/>
  <c r="AM9" i="3"/>
  <c r="AT9" i="3"/>
  <c r="AW9" i="3" s="1"/>
  <c r="M10" i="3"/>
  <c r="Q10" i="3"/>
  <c r="P10" i="3" s="1"/>
  <c r="U10" i="3"/>
  <c r="S10" i="3" s="1"/>
  <c r="X10" i="3"/>
  <c r="V10" i="3" s="1"/>
  <c r="Y10" i="3"/>
  <c r="AB10" i="3"/>
  <c r="AJ10" i="3"/>
  <c r="AV10" i="3" s="1"/>
  <c r="AM10" i="3"/>
  <c r="AT10" i="3"/>
  <c r="AW10" i="3"/>
  <c r="P11" i="3"/>
  <c r="T11" i="3"/>
  <c r="U11" i="3"/>
  <c r="W11" i="3"/>
  <c r="W45" i="3" s="1"/>
  <c r="X11" i="3"/>
  <c r="Y11" i="3"/>
  <c r="AB11" i="3"/>
  <c r="AJ11" i="3"/>
  <c r="AM11" i="3"/>
  <c r="AR11" i="3"/>
  <c r="AT11" i="3"/>
  <c r="AW11" i="3" s="1"/>
  <c r="U12" i="3"/>
  <c r="S12" i="3" s="1"/>
  <c r="W12" i="3"/>
  <c r="X12" i="3"/>
  <c r="Y12" i="3"/>
  <c r="AB12" i="3"/>
  <c r="AJ12" i="3"/>
  <c r="AM12" i="3"/>
  <c r="AR12" i="3"/>
  <c r="AT12" i="3" s="1"/>
  <c r="AW12" i="3" s="1"/>
  <c r="X13" i="3"/>
  <c r="Y13" i="3"/>
  <c r="AB13" i="3"/>
  <c r="AJ13" i="3"/>
  <c r="AM13" i="3"/>
  <c r="AR13" i="3"/>
  <c r="AT13" i="3" s="1"/>
  <c r="AW13" i="3" s="1"/>
  <c r="Y14" i="3"/>
  <c r="AB14" i="3"/>
  <c r="AJ14" i="3"/>
  <c r="AM14" i="3"/>
  <c r="AR14" i="3"/>
  <c r="AT14" i="3" s="1"/>
  <c r="AW14" i="3" s="1"/>
  <c r="BE14" i="3"/>
  <c r="BF14" i="3"/>
  <c r="BF48" i="3" s="1"/>
  <c r="BG48" i="3" s="1"/>
  <c r="AB15" i="3"/>
  <c r="AJ15" i="3"/>
  <c r="AM15" i="3"/>
  <c r="AR15" i="3"/>
  <c r="AT15" i="3" s="1"/>
  <c r="AW15" i="3" s="1"/>
  <c r="BE15" i="3"/>
  <c r="BF15" i="3"/>
  <c r="BF31" i="3" s="1"/>
  <c r="AJ16" i="3"/>
  <c r="AV16" i="3" s="1"/>
  <c r="AM16" i="3"/>
  <c r="AR16" i="3"/>
  <c r="AT16" i="3" s="1"/>
  <c r="AW16" i="3" s="1"/>
  <c r="BE16" i="3"/>
  <c r="BF16" i="3"/>
  <c r="BF32" i="3" s="1"/>
  <c r="AR17" i="3"/>
  <c r="AS17" i="3"/>
  <c r="BE17" i="3"/>
  <c r="BB18" i="3"/>
  <c r="BE18" i="3" s="1"/>
  <c r="BD18" i="3"/>
  <c r="F20" i="3"/>
  <c r="I20" i="3"/>
  <c r="I38" i="3" s="1"/>
  <c r="L20" i="3"/>
  <c r="O20" i="3"/>
  <c r="R20" i="3"/>
  <c r="AD20" i="3"/>
  <c r="AF20" i="3"/>
  <c r="AF38" i="3" s="1"/>
  <c r="AH20" i="3"/>
  <c r="AL20" i="3"/>
  <c r="D22" i="3"/>
  <c r="D36" i="3" s="1"/>
  <c r="G22" i="3"/>
  <c r="J22" i="3"/>
  <c r="M22" i="3"/>
  <c r="P22" i="3"/>
  <c r="S22" i="3"/>
  <c r="X22" i="3"/>
  <c r="V22" i="3" s="1"/>
  <c r="Y22" i="3"/>
  <c r="AB22" i="3"/>
  <c r="AJ22" i="3"/>
  <c r="AM22" i="3"/>
  <c r="AQ22" i="3"/>
  <c r="AS22" i="3"/>
  <c r="BB22" i="3"/>
  <c r="D23" i="3"/>
  <c r="H23" i="3"/>
  <c r="K23" i="3"/>
  <c r="J23" i="3" s="1"/>
  <c r="M23" i="3"/>
  <c r="P23" i="3"/>
  <c r="AM23" i="3"/>
  <c r="H24" i="3"/>
  <c r="G24" i="3" s="1"/>
  <c r="K24" i="3"/>
  <c r="J24" i="3" s="1"/>
  <c r="M24" i="3"/>
  <c r="Q24" i="3"/>
  <c r="P24" i="3" s="1"/>
  <c r="S24" i="3"/>
  <c r="X24" i="3"/>
  <c r="V24" i="3" s="1"/>
  <c r="AM24" i="3"/>
  <c r="K25" i="3"/>
  <c r="K59" i="3" s="1"/>
  <c r="J59" i="3" s="1"/>
  <c r="M25" i="3"/>
  <c r="Q25" i="3"/>
  <c r="P25" i="3" s="1"/>
  <c r="S25" i="3"/>
  <c r="W25" i="3"/>
  <c r="W59" i="3" s="1"/>
  <c r="X25" i="3"/>
  <c r="Y25" i="3"/>
  <c r="AB25" i="3"/>
  <c r="AJ25" i="3"/>
  <c r="AM25" i="3"/>
  <c r="AS25" i="3"/>
  <c r="AW25" i="3"/>
  <c r="M26" i="3"/>
  <c r="Q26" i="3"/>
  <c r="P26" i="3" s="1"/>
  <c r="S26" i="3"/>
  <c r="W26" i="3"/>
  <c r="X26" i="3"/>
  <c r="V26" i="3" s="1"/>
  <c r="Y26" i="3"/>
  <c r="AB26" i="3"/>
  <c r="AJ26" i="3"/>
  <c r="AM26" i="3"/>
  <c r="AS26" i="3"/>
  <c r="BF26" i="3"/>
  <c r="P27" i="3"/>
  <c r="T27" i="3"/>
  <c r="S27" i="3" s="1"/>
  <c r="W27" i="3"/>
  <c r="W61" i="3" s="1"/>
  <c r="X27" i="3"/>
  <c r="Y27" i="3"/>
  <c r="AB27" i="3"/>
  <c r="AJ27" i="3"/>
  <c r="AM27" i="3"/>
  <c r="AS27" i="3"/>
  <c r="BF27" i="3"/>
  <c r="S28" i="3"/>
  <c r="W28" i="3"/>
  <c r="X28" i="3"/>
  <c r="V28" i="3" s="1"/>
  <c r="Y28" i="3"/>
  <c r="AB28" i="3"/>
  <c r="AJ28" i="3"/>
  <c r="AM28" i="3"/>
  <c r="AS28" i="3"/>
  <c r="BF28" i="3"/>
  <c r="X29" i="3"/>
  <c r="V29" i="3" s="1"/>
  <c r="Y29" i="3"/>
  <c r="AB29" i="3"/>
  <c r="AJ29" i="3"/>
  <c r="AM29" i="3"/>
  <c r="AS29" i="3"/>
  <c r="BF29" i="3"/>
  <c r="Y30" i="3"/>
  <c r="AB30" i="3"/>
  <c r="AJ30" i="3"/>
  <c r="AM30" i="3"/>
  <c r="AS30" i="3"/>
  <c r="AB31" i="3"/>
  <c r="AJ31" i="3"/>
  <c r="AM31" i="3"/>
  <c r="AS31" i="3"/>
  <c r="AJ32" i="3"/>
  <c r="AM32" i="3"/>
  <c r="AS32" i="3"/>
  <c r="AQ33" i="3"/>
  <c r="AS33" i="3"/>
  <c r="BB34" i="3"/>
  <c r="BD34" i="3"/>
  <c r="F36" i="3"/>
  <c r="F38" i="3" s="1"/>
  <c r="I36" i="3"/>
  <c r="L36" i="3"/>
  <c r="O36" i="3"/>
  <c r="R36" i="3"/>
  <c r="U36" i="3"/>
  <c r="AA36" i="3"/>
  <c r="AA38" i="3" s="1"/>
  <c r="AD36" i="3"/>
  <c r="AF36" i="3"/>
  <c r="AH36" i="3"/>
  <c r="AG36" i="3" s="1"/>
  <c r="AL36" i="3"/>
  <c r="O38" i="3"/>
  <c r="E40" i="3"/>
  <c r="D40" i="3" s="1"/>
  <c r="D54" i="3" s="1"/>
  <c r="H40" i="3"/>
  <c r="G40" i="3" s="1"/>
  <c r="K40" i="3"/>
  <c r="J40" i="3" s="1"/>
  <c r="N40" i="3"/>
  <c r="M40" i="3" s="1"/>
  <c r="Q40" i="3"/>
  <c r="P40" i="3" s="1"/>
  <c r="T40" i="3"/>
  <c r="S40" i="3" s="1"/>
  <c r="W40" i="3"/>
  <c r="X40" i="3"/>
  <c r="V40" i="3" s="1"/>
  <c r="Y40" i="3"/>
  <c r="AC40" i="3"/>
  <c r="AB40" i="3" s="1"/>
  <c r="AJ40" i="3"/>
  <c r="AM40" i="3"/>
  <c r="AR40" i="3"/>
  <c r="AV40" i="3" s="1"/>
  <c r="AS40" i="3"/>
  <c r="BB40" i="3"/>
  <c r="BE40" i="3" s="1"/>
  <c r="E41" i="3"/>
  <c r="D41" i="3" s="1"/>
  <c r="H41" i="3"/>
  <c r="G41" i="3" s="1"/>
  <c r="K41" i="3"/>
  <c r="J41" i="3" s="1"/>
  <c r="N41" i="3"/>
  <c r="M41" i="3" s="1"/>
  <c r="Q41" i="3"/>
  <c r="P41" i="3" s="1"/>
  <c r="G42" i="3"/>
  <c r="H42" i="3"/>
  <c r="K42" i="3"/>
  <c r="J42" i="3" s="1"/>
  <c r="N42" i="3"/>
  <c r="M42" i="3" s="1"/>
  <c r="S42" i="3"/>
  <c r="AM42" i="3"/>
  <c r="K43" i="3"/>
  <c r="J43" i="3" s="1"/>
  <c r="N43" i="3"/>
  <c r="M43" i="3" s="1"/>
  <c r="T43" i="3"/>
  <c r="S43" i="3" s="1"/>
  <c r="W43" i="3"/>
  <c r="X43" i="3"/>
  <c r="AM43" i="3"/>
  <c r="N44" i="3"/>
  <c r="M44" i="3" s="1"/>
  <c r="T44" i="3"/>
  <c r="S44" i="3" s="1"/>
  <c r="W44" i="3"/>
  <c r="X44" i="3"/>
  <c r="Y44" i="3"/>
  <c r="AC44" i="3"/>
  <c r="AB44" i="3" s="1"/>
  <c r="AJ44" i="3"/>
  <c r="AM44" i="3"/>
  <c r="AS44" i="3"/>
  <c r="AT44" i="3" s="1"/>
  <c r="AW44" i="3" s="1"/>
  <c r="AV44" i="3"/>
  <c r="Q45" i="3"/>
  <c r="P45" i="3" s="1"/>
  <c r="T45" i="3"/>
  <c r="S45" i="3" s="1"/>
  <c r="X45" i="3"/>
  <c r="Y45" i="3"/>
  <c r="AC45" i="3"/>
  <c r="AB45" i="3" s="1"/>
  <c r="AJ45" i="3"/>
  <c r="AV45" i="3" s="1"/>
  <c r="AM45" i="3"/>
  <c r="AS45" i="3"/>
  <c r="AT45" i="3" s="1"/>
  <c r="T46" i="3"/>
  <c r="S46" i="3" s="1"/>
  <c r="W46" i="3"/>
  <c r="X46" i="3"/>
  <c r="V46" i="3" s="1"/>
  <c r="Y46" i="3"/>
  <c r="AC46" i="3"/>
  <c r="AB46" i="3" s="1"/>
  <c r="AJ46" i="3"/>
  <c r="AM46" i="3"/>
  <c r="AS46" i="3"/>
  <c r="AT46" i="3" s="1"/>
  <c r="AW46" i="3" s="1"/>
  <c r="AV46" i="3"/>
  <c r="W47" i="3"/>
  <c r="X47" i="3"/>
  <c r="Y47" i="3"/>
  <c r="AC47" i="3"/>
  <c r="AB47" i="3" s="1"/>
  <c r="AJ47" i="3"/>
  <c r="AM47" i="3"/>
  <c r="AR47" i="3"/>
  <c r="AS47" i="3"/>
  <c r="BE47" i="3"/>
  <c r="BF47" i="3"/>
  <c r="Y48" i="3"/>
  <c r="AC48" i="3"/>
  <c r="AB48" i="3" s="1"/>
  <c r="AJ48" i="3"/>
  <c r="AM48" i="3"/>
  <c r="AR48" i="3"/>
  <c r="AS48" i="3"/>
  <c r="BE48" i="3"/>
  <c r="AC49" i="3"/>
  <c r="AB49" i="3" s="1"/>
  <c r="AJ49" i="3"/>
  <c r="AM49" i="3"/>
  <c r="AR49" i="3"/>
  <c r="AS49" i="3"/>
  <c r="BE49" i="3"/>
  <c r="BF49" i="3"/>
  <c r="AJ50" i="3"/>
  <c r="AM50" i="3"/>
  <c r="AR50" i="3"/>
  <c r="AV50" i="3" s="1"/>
  <c r="AS50" i="3"/>
  <c r="BE50" i="3"/>
  <c r="AR51" i="3"/>
  <c r="BE51" i="3"/>
  <c r="BB52" i="3"/>
  <c r="F54" i="3"/>
  <c r="I54" i="3"/>
  <c r="J54" i="3"/>
  <c r="L54" i="3"/>
  <c r="O54" i="3"/>
  <c r="R54" i="3"/>
  <c r="U54" i="3"/>
  <c r="AA54" i="3"/>
  <c r="AD54" i="3"/>
  <c r="AF54" i="3"/>
  <c r="AH54" i="3"/>
  <c r="AG54" i="3" s="1"/>
  <c r="AL54" i="3"/>
  <c r="E56" i="3"/>
  <c r="D56" i="3" s="1"/>
  <c r="H56" i="3"/>
  <c r="G56" i="3" s="1"/>
  <c r="K56" i="3"/>
  <c r="J56" i="3" s="1"/>
  <c r="N56" i="3"/>
  <c r="M56" i="3" s="1"/>
  <c r="Q56" i="3"/>
  <c r="P56" i="3" s="1"/>
  <c r="T56" i="3"/>
  <c r="S56" i="3" s="1"/>
  <c r="V56" i="3" s="1"/>
  <c r="W56" i="3"/>
  <c r="X56" i="3"/>
  <c r="Y56" i="3"/>
  <c r="AC56" i="3"/>
  <c r="AB56" i="3" s="1"/>
  <c r="AJ56" i="3"/>
  <c r="AM56" i="3"/>
  <c r="E57" i="3"/>
  <c r="D57" i="3" s="1"/>
  <c r="D70" i="3" s="1"/>
  <c r="N57" i="3"/>
  <c r="M57" i="3" s="1"/>
  <c r="Q57" i="3"/>
  <c r="P57" i="3" s="1"/>
  <c r="AM57" i="3"/>
  <c r="K58" i="3"/>
  <c r="J58" i="3" s="1"/>
  <c r="N58" i="3"/>
  <c r="M58" i="3" s="1"/>
  <c r="T58" i="3"/>
  <c r="S58" i="3" s="1"/>
  <c r="V59" i="3" s="1"/>
  <c r="AM58" i="3"/>
  <c r="N59" i="3"/>
  <c r="M59" i="3" s="1"/>
  <c r="Q59" i="3"/>
  <c r="P59" i="3" s="1"/>
  <c r="T59" i="3"/>
  <c r="S59" i="3" s="1"/>
  <c r="V60" i="3" s="1"/>
  <c r="X59" i="3"/>
  <c r="AM59" i="3"/>
  <c r="N60" i="3"/>
  <c r="M60" i="3" s="1"/>
  <c r="Q60" i="3"/>
  <c r="P60" i="3" s="1"/>
  <c r="T60" i="3"/>
  <c r="S60" i="3" s="1"/>
  <c r="V61" i="3" s="1"/>
  <c r="W60" i="3"/>
  <c r="X60" i="3"/>
  <c r="Y60" i="3"/>
  <c r="AC60" i="3"/>
  <c r="AB60" i="3" s="1"/>
  <c r="AJ60" i="3"/>
  <c r="AV60" i="3" s="1"/>
  <c r="AM60" i="3"/>
  <c r="Q61" i="3"/>
  <c r="P61" i="3" s="1"/>
  <c r="X61" i="3"/>
  <c r="Y61" i="3"/>
  <c r="AC61" i="3"/>
  <c r="AB61" i="3" s="1"/>
  <c r="AJ61" i="3"/>
  <c r="AM61" i="3"/>
  <c r="AV61" i="3"/>
  <c r="T62" i="3"/>
  <c r="S62" i="3" s="1"/>
  <c r="V63" i="3" s="1"/>
  <c r="W62" i="3"/>
  <c r="X62" i="3"/>
  <c r="Y62" i="3"/>
  <c r="AC62" i="3"/>
  <c r="AB62" i="3" s="1"/>
  <c r="AJ62" i="3"/>
  <c r="AM62" i="3"/>
  <c r="AS62" i="3"/>
  <c r="AT62" i="3" s="1"/>
  <c r="AW62" i="3" s="1"/>
  <c r="AV62" i="3"/>
  <c r="W63" i="3"/>
  <c r="X63" i="3"/>
  <c r="Y63" i="3"/>
  <c r="AB63" i="3"/>
  <c r="AC63" i="3"/>
  <c r="AJ63" i="3"/>
  <c r="AM63" i="3"/>
  <c r="Y64" i="3"/>
  <c r="AC64" i="3"/>
  <c r="AB64" i="3" s="1"/>
  <c r="AJ64" i="3"/>
  <c r="AM64" i="3"/>
  <c r="AC65" i="3"/>
  <c r="AB65" i="3" s="1"/>
  <c r="AJ65" i="3"/>
  <c r="AM65" i="3"/>
  <c r="AJ66" i="3"/>
  <c r="AM66" i="3"/>
  <c r="F70" i="3"/>
  <c r="F72" i="3" s="1"/>
  <c r="I70" i="3"/>
  <c r="I72" i="3" s="1"/>
  <c r="L70" i="3"/>
  <c r="L72" i="3" s="1"/>
  <c r="O70" i="3"/>
  <c r="O72" i="3" s="1"/>
  <c r="R70" i="3"/>
  <c r="U70" i="3"/>
  <c r="AA70" i="3"/>
  <c r="AD70" i="3"/>
  <c r="AF70" i="3"/>
  <c r="AF72" i="3" s="1"/>
  <c r="AH70" i="3"/>
  <c r="AG70" i="3" s="1"/>
  <c r="AL70" i="3"/>
  <c r="U72" i="3"/>
  <c r="AA72" i="3"/>
  <c r="D74" i="3"/>
  <c r="G74" i="3"/>
  <c r="J74" i="3"/>
  <c r="M74" i="3"/>
  <c r="P74" i="3"/>
  <c r="S74" i="3"/>
  <c r="S77" i="3" s="1"/>
  <c r="X74" i="3"/>
  <c r="Y74" i="3"/>
  <c r="AB74" i="3"/>
  <c r="AJ74" i="3"/>
  <c r="AR74" i="3" s="1"/>
  <c r="AM74" i="3"/>
  <c r="AS74" i="3"/>
  <c r="BB74" i="3"/>
  <c r="BB75" i="3" s="1"/>
  <c r="BD74" i="3"/>
  <c r="BD75" i="3" s="1"/>
  <c r="D75" i="3"/>
  <c r="G75" i="3"/>
  <c r="J75" i="3"/>
  <c r="M75" i="3"/>
  <c r="P75" i="3"/>
  <c r="S75" i="3"/>
  <c r="X75" i="3"/>
  <c r="V75" i="3" s="1"/>
  <c r="Y75" i="3"/>
  <c r="AB75" i="3"/>
  <c r="AJ75" i="3"/>
  <c r="AR75" i="3" s="1"/>
  <c r="AV75" i="3" s="1"/>
  <c r="AM75" i="3"/>
  <c r="AS75" i="3"/>
  <c r="E77" i="3"/>
  <c r="F77" i="3"/>
  <c r="H77" i="3"/>
  <c r="I77" i="3"/>
  <c r="K77" i="3"/>
  <c r="L77" i="3"/>
  <c r="N77" i="3"/>
  <c r="O77" i="3"/>
  <c r="Q77" i="3"/>
  <c r="R77" i="3"/>
  <c r="T77" i="3"/>
  <c r="U77" i="3"/>
  <c r="W77" i="3"/>
  <c r="AA77" i="3"/>
  <c r="AD77" i="3"/>
  <c r="AF77" i="3"/>
  <c r="AG77" i="3"/>
  <c r="AH77" i="3"/>
  <c r="AK77" i="3"/>
  <c r="AL77" i="3"/>
  <c r="AS77" i="3"/>
  <c r="D80" i="3"/>
  <c r="G80" i="3"/>
  <c r="J80" i="3"/>
  <c r="M80" i="3"/>
  <c r="Q80" i="3"/>
  <c r="P80" i="3" s="1"/>
  <c r="T80" i="3"/>
  <c r="S80" i="3" s="1"/>
  <c r="X80" i="3"/>
  <c r="V80" i="3" s="1"/>
  <c r="Y80" i="3"/>
  <c r="AB80" i="3"/>
  <c r="AJ80" i="3"/>
  <c r="AR80" i="3" s="1"/>
  <c r="AV80" i="3" s="1"/>
  <c r="AM80" i="3"/>
  <c r="AS80" i="3"/>
  <c r="BB80" i="3"/>
  <c r="BB81" i="3" s="1"/>
  <c r="BD80" i="3"/>
  <c r="BD81" i="3" s="1"/>
  <c r="D81" i="3"/>
  <c r="G81" i="3"/>
  <c r="J81" i="3"/>
  <c r="M81" i="3"/>
  <c r="P81" i="3"/>
  <c r="S81" i="3"/>
  <c r="X81" i="3"/>
  <c r="Y81" i="3"/>
  <c r="AB81" i="3"/>
  <c r="AJ81" i="3"/>
  <c r="AR81" i="3" s="1"/>
  <c r="AM81" i="3"/>
  <c r="AS81" i="3"/>
  <c r="D82" i="3"/>
  <c r="G82" i="3"/>
  <c r="J82" i="3"/>
  <c r="M82" i="3"/>
  <c r="Q82" i="3"/>
  <c r="T82" i="3" s="1"/>
  <c r="S82" i="3" s="1"/>
  <c r="X82" i="3"/>
  <c r="V82" i="3" s="1"/>
  <c r="Y82" i="3"/>
  <c r="AB82" i="3"/>
  <c r="AJ82" i="3"/>
  <c r="AR82" i="3" s="1"/>
  <c r="AM82" i="3"/>
  <c r="AS82" i="3"/>
  <c r="BF82" i="3" s="1"/>
  <c r="BB82" i="3"/>
  <c r="BB83" i="3" s="1"/>
  <c r="BD82" i="3"/>
  <c r="BD83" i="3" s="1"/>
  <c r="D83" i="3"/>
  <c r="G83" i="3"/>
  <c r="J83" i="3"/>
  <c r="J84" i="3" s="1"/>
  <c r="M83" i="3"/>
  <c r="P83" i="3"/>
  <c r="S83" i="3"/>
  <c r="X83" i="3"/>
  <c r="V83" i="3" s="1"/>
  <c r="Y83" i="3"/>
  <c r="AB83" i="3"/>
  <c r="AJ83" i="3"/>
  <c r="AR83" i="3" s="1"/>
  <c r="AV83" i="3" s="1"/>
  <c r="AM83" i="3"/>
  <c r="AS83" i="3"/>
  <c r="F84" i="3"/>
  <c r="I84" i="3"/>
  <c r="K84" i="3"/>
  <c r="L84" i="3"/>
  <c r="O84" i="3"/>
  <c r="R84" i="3"/>
  <c r="U84" i="3"/>
  <c r="AA84" i="3"/>
  <c r="AD84" i="3"/>
  <c r="AF84" i="3"/>
  <c r="AH84" i="3"/>
  <c r="AL84" i="3"/>
  <c r="Y88" i="3"/>
  <c r="AC88" i="3"/>
  <c r="AB88" i="3" s="1"/>
  <c r="AK88" i="3"/>
  <c r="AJ88" i="3" s="1"/>
  <c r="AR88" i="3" s="1"/>
  <c r="AM88" i="3"/>
  <c r="AS88" i="3"/>
  <c r="AM89" i="3"/>
  <c r="AR89" i="3"/>
  <c r="AV89" i="3" s="1"/>
  <c r="AW89" i="3"/>
  <c r="AM90" i="3"/>
  <c r="AR90" i="3"/>
  <c r="AV90" i="3" s="1"/>
  <c r="AW90" i="3"/>
  <c r="G91" i="3"/>
  <c r="I91" i="3"/>
  <c r="J91" i="3"/>
  <c r="L91" i="3"/>
  <c r="M91" i="3"/>
  <c r="O91" i="3"/>
  <c r="AM91" i="3"/>
  <c r="AR91" i="3"/>
  <c r="AV91" i="3" s="1"/>
  <c r="AW91" i="3"/>
  <c r="G92" i="3"/>
  <c r="J92" i="3"/>
  <c r="M92" i="3"/>
  <c r="AM92" i="3"/>
  <c r="AR92" i="3"/>
  <c r="AV92" i="3" s="1"/>
  <c r="AW92" i="3"/>
  <c r="AM93" i="3"/>
  <c r="AR93" i="3"/>
  <c r="AV93" i="3" s="1"/>
  <c r="AW93" i="3"/>
  <c r="AM94" i="3"/>
  <c r="AR94" i="3"/>
  <c r="AV94" i="3" s="1"/>
  <c r="AW94" i="3"/>
  <c r="AM95" i="3"/>
  <c r="AR95" i="3"/>
  <c r="AV95" i="3" s="1"/>
  <c r="AW95" i="3"/>
  <c r="AM96" i="3"/>
  <c r="AR96" i="3"/>
  <c r="AV96" i="3" s="1"/>
  <c r="AW96" i="3"/>
  <c r="AM97" i="3"/>
  <c r="AR97" i="3"/>
  <c r="AV97" i="3" s="1"/>
  <c r="AW97" i="3"/>
  <c r="I98" i="3"/>
  <c r="L98" i="3"/>
  <c r="O98" i="3"/>
  <c r="R98" i="3"/>
  <c r="U98" i="3"/>
  <c r="X98" i="3"/>
  <c r="AA98" i="3"/>
  <c r="AM98" i="3"/>
  <c r="AR98" i="3"/>
  <c r="AV98" i="3" s="1"/>
  <c r="AT98" i="3"/>
  <c r="AW98" i="3"/>
  <c r="AM99" i="3"/>
  <c r="AR99" i="3"/>
  <c r="AV99" i="3" s="1"/>
  <c r="AW99" i="3"/>
  <c r="AM100" i="3"/>
  <c r="AR100" i="3"/>
  <c r="AV100" i="3" s="1"/>
  <c r="AW100" i="3"/>
  <c r="AM101" i="3"/>
  <c r="AR101" i="3"/>
  <c r="AV101" i="3" s="1"/>
  <c r="AW101" i="3"/>
  <c r="AJ102" i="3"/>
  <c r="AR102" i="3" s="1"/>
  <c r="AM102" i="3"/>
  <c r="AS102" i="3"/>
  <c r="AT102" i="3"/>
  <c r="BD102" i="3"/>
  <c r="BI103" i="3"/>
  <c r="AZ105" i="3"/>
  <c r="AM108" i="3"/>
  <c r="AN108" i="3"/>
  <c r="AD110" i="3"/>
  <c r="AN110" i="3" s="1"/>
  <c r="AM110" i="3"/>
  <c r="AZ113" i="3"/>
  <c r="I86" i="3" l="1"/>
  <c r="H58" i="3"/>
  <c r="G58" i="3" s="1"/>
  <c r="K57" i="3"/>
  <c r="J57" i="3" s="1"/>
  <c r="V11" i="3"/>
  <c r="Y54" i="3"/>
  <c r="R72" i="3"/>
  <c r="J25" i="3"/>
  <c r="BG14" i="3"/>
  <c r="G84" i="3"/>
  <c r="AB77" i="3"/>
  <c r="T61" i="3"/>
  <c r="S61" i="3" s="1"/>
  <c r="V62" i="3" s="1"/>
  <c r="AS60" i="3"/>
  <c r="AT60" i="3" s="1"/>
  <c r="AW60" i="3" s="1"/>
  <c r="Y70" i="3"/>
  <c r="BF50" i="3"/>
  <c r="BF66" i="3" s="1"/>
  <c r="AV48" i="3"/>
  <c r="AV47" i="3"/>
  <c r="BF30" i="3"/>
  <c r="Y36" i="3"/>
  <c r="V12" i="3"/>
  <c r="AV11" i="3"/>
  <c r="S11" i="3"/>
  <c r="G20" i="3"/>
  <c r="H20" i="3" s="1"/>
  <c r="AB20" i="3"/>
  <c r="AC20" i="3" s="1"/>
  <c r="AJ70" i="3"/>
  <c r="AK70" i="3" s="1"/>
  <c r="Y84" i="3"/>
  <c r="AQ77" i="3"/>
  <c r="G77" i="3"/>
  <c r="BF74" i="3"/>
  <c r="BF77" i="3" s="1"/>
  <c r="BD77" i="3" s="1"/>
  <c r="M77" i="3"/>
  <c r="X70" i="3"/>
  <c r="AL72" i="3"/>
  <c r="BG47" i="3"/>
  <c r="V47" i="3"/>
  <c r="Q44" i="3"/>
  <c r="P44" i="3" s="1"/>
  <c r="V25" i="3"/>
  <c r="D20" i="3"/>
  <c r="E20" i="3" s="1"/>
  <c r="J20" i="3"/>
  <c r="BG49" i="3"/>
  <c r="BB56" i="3"/>
  <c r="BG50" i="3"/>
  <c r="BD88" i="3"/>
  <c r="BF102" i="3"/>
  <c r="BB88" i="3"/>
  <c r="BB102" i="3" s="1"/>
  <c r="BE102" i="3" s="1"/>
  <c r="AT40" i="3"/>
  <c r="AW40" i="3" s="1"/>
  <c r="AB54" i="3"/>
  <c r="AA86" i="3"/>
  <c r="AA103" i="3" s="1"/>
  <c r="AB84" i="3"/>
  <c r="M84" i="3"/>
  <c r="N84" i="3" s="1"/>
  <c r="BF65" i="3"/>
  <c r="AC54" i="3"/>
  <c r="AT49" i="3"/>
  <c r="AW49" i="3" s="1"/>
  <c r="AS65" i="3"/>
  <c r="AT50" i="3"/>
  <c r="AW50" i="3" s="1"/>
  <c r="AS66" i="3"/>
  <c r="Y72" i="3"/>
  <c r="J77" i="3"/>
  <c r="AS61" i="3"/>
  <c r="AT61" i="3" s="1"/>
  <c r="AW61" i="3" s="1"/>
  <c r="K54" i="3"/>
  <c r="AF86" i="3"/>
  <c r="AF103" i="3" s="1"/>
  <c r="H84" i="3"/>
  <c r="AT83" i="3"/>
  <c r="AW83" i="3" s="1"/>
  <c r="X84" i="3"/>
  <c r="S84" i="3"/>
  <c r="T84" i="3" s="1"/>
  <c r="AT75" i="3"/>
  <c r="AW75" i="3" s="1"/>
  <c r="P77" i="3"/>
  <c r="D77" i="3"/>
  <c r="X77" i="3"/>
  <c r="AH72" i="3"/>
  <c r="AM72" i="3" s="1"/>
  <c r="AD72" i="3"/>
  <c r="AS56" i="3"/>
  <c r="E54" i="3"/>
  <c r="S54" i="3"/>
  <c r="V45" i="3"/>
  <c r="Q43" i="3"/>
  <c r="P43" i="3" s="1"/>
  <c r="P54" i="3" s="1"/>
  <c r="M36" i="3"/>
  <c r="N36" i="3" s="1"/>
  <c r="AV15" i="3"/>
  <c r="AV14" i="3"/>
  <c r="AV13" i="3"/>
  <c r="G54" i="3"/>
  <c r="H54" i="3" s="1"/>
  <c r="AB36" i="3"/>
  <c r="AB38" i="3" s="1"/>
  <c r="M20" i="3"/>
  <c r="M38" i="3" s="1"/>
  <c r="N38" i="3" s="1"/>
  <c r="BF81" i="3"/>
  <c r="Q58" i="3"/>
  <c r="P58" i="3" s="1"/>
  <c r="P70" i="3" s="1"/>
  <c r="Q70" i="3" s="1"/>
  <c r="AB70" i="3"/>
  <c r="AB72" i="3" s="1"/>
  <c r="V44" i="3"/>
  <c r="E36" i="3"/>
  <c r="AJ36" i="3"/>
  <c r="V27" i="3"/>
  <c r="V36" i="3" s="1"/>
  <c r="X20" i="3"/>
  <c r="Y20" i="3"/>
  <c r="Y38" i="3" s="1"/>
  <c r="P8" i="3"/>
  <c r="AJ84" i="3"/>
  <c r="AT88" i="3"/>
  <c r="AW88" i="3" s="1"/>
  <c r="AM84" i="3"/>
  <c r="D84" i="3"/>
  <c r="E84" i="3" s="1"/>
  <c r="AT80" i="3"/>
  <c r="AW80" i="3" s="1"/>
  <c r="AM77" i="3"/>
  <c r="F86" i="3"/>
  <c r="Y77" i="3"/>
  <c r="Y86" i="3" s="1"/>
  <c r="Y103" i="3" s="1"/>
  <c r="AR54" i="3"/>
  <c r="AR56" i="3" s="1"/>
  <c r="AJ54" i="3"/>
  <c r="AJ55" i="3" s="1"/>
  <c r="S36" i="3"/>
  <c r="T36" i="3" s="1"/>
  <c r="AV12" i="3"/>
  <c r="P6" i="3"/>
  <c r="P20" i="3" s="1"/>
  <c r="P38" i="3" s="1"/>
  <c r="AV102" i="3"/>
  <c r="AW102" i="3"/>
  <c r="O86" i="3"/>
  <c r="AV88" i="3"/>
  <c r="E70" i="3"/>
  <c r="D72" i="3"/>
  <c r="BE82" i="3"/>
  <c r="BG82" i="3" s="1"/>
  <c r="AT82" i="3"/>
  <c r="AW82" i="3" s="1"/>
  <c r="AV82" i="3"/>
  <c r="AV81" i="3"/>
  <c r="BE81" i="3"/>
  <c r="AT81" i="3"/>
  <c r="AR84" i="3"/>
  <c r="BE74" i="3"/>
  <c r="AV74" i="3"/>
  <c r="AT74" i="3"/>
  <c r="AR77" i="3"/>
  <c r="AW6" i="3"/>
  <c r="BF83" i="3"/>
  <c r="P82" i="3"/>
  <c r="P84" i="3" s="1"/>
  <c r="Q84" i="3" s="1"/>
  <c r="V81" i="3"/>
  <c r="V84" i="3" s="1"/>
  <c r="W84" i="3" s="1"/>
  <c r="BF80" i="3"/>
  <c r="BF75" i="3"/>
  <c r="V74" i="3"/>
  <c r="V77" i="3" s="1"/>
  <c r="AG72" i="3"/>
  <c r="AC70" i="3"/>
  <c r="S70" i="3"/>
  <c r="T70" i="3" s="1"/>
  <c r="V70" i="3"/>
  <c r="W70" i="3" s="1"/>
  <c r="AK36" i="3"/>
  <c r="AM36" i="3"/>
  <c r="AL38" i="3"/>
  <c r="R38" i="3"/>
  <c r="BG16" i="3"/>
  <c r="BE20" i="3"/>
  <c r="H57" i="3"/>
  <c r="G57" i="3" s="1"/>
  <c r="G70" i="3" s="1"/>
  <c r="H70" i="3" s="1"/>
  <c r="G23" i="3"/>
  <c r="G36" i="3" s="1"/>
  <c r="BE83" i="3"/>
  <c r="BE80" i="3"/>
  <c r="BE75" i="3"/>
  <c r="AM70" i="3"/>
  <c r="AM54" i="3"/>
  <c r="AK54" i="3"/>
  <c r="T54" i="3"/>
  <c r="BE52" i="3"/>
  <c r="BE54" i="3" s="1"/>
  <c r="BB68" i="3"/>
  <c r="AT48" i="3"/>
  <c r="AW48" i="3" s="1"/>
  <c r="AS64" i="3"/>
  <c r="AW45" i="3"/>
  <c r="V43" i="3"/>
  <c r="V54" i="3" s="1"/>
  <c r="V72" i="3" s="1"/>
  <c r="X54" i="3"/>
  <c r="M54" i="3"/>
  <c r="AJ37" i="3"/>
  <c r="BF17" i="3"/>
  <c r="BF18" i="3"/>
  <c r="AS51" i="3"/>
  <c r="AR65" i="3"/>
  <c r="J70" i="3"/>
  <c r="J72" i="3" s="1"/>
  <c r="K72" i="3" s="1"/>
  <c r="P36" i="3"/>
  <c r="Q36" i="3" s="1"/>
  <c r="AV6" i="3"/>
  <c r="AJ20" i="3"/>
  <c r="AJ38" i="3" s="1"/>
  <c r="AJ77" i="3"/>
  <c r="BF64" i="3"/>
  <c r="M70" i="3"/>
  <c r="N70" i="3" s="1"/>
  <c r="AT47" i="3"/>
  <c r="AW47" i="3" s="1"/>
  <c r="AS63" i="3"/>
  <c r="AH38" i="3"/>
  <c r="AG20" i="3"/>
  <c r="AM20" i="3"/>
  <c r="L38" i="3"/>
  <c r="K20" i="3"/>
  <c r="J36" i="3"/>
  <c r="J38" i="3" s="1"/>
  <c r="J86" i="3" s="1"/>
  <c r="AT17" i="3"/>
  <c r="AW17" i="3" s="1"/>
  <c r="AS2" i="3"/>
  <c r="BF6" i="3"/>
  <c r="AD38" i="3"/>
  <c r="X36" i="3"/>
  <c r="V13" i="3"/>
  <c r="V20" i="3" s="1"/>
  <c r="U20" i="3"/>
  <c r="S8" i="3"/>
  <c r="S20" i="3" s="1"/>
  <c r="S38" i="3" s="1"/>
  <c r="AV49" i="3"/>
  <c r="AQ40" i="3"/>
  <c r="AQ56" i="3" s="1"/>
  <c r="AR20" i="3"/>
  <c r="AR32" i="3" s="1"/>
  <c r="AV32" i="3" s="1"/>
  <c r="AV17" i="3"/>
  <c r="BG15" i="3"/>
  <c r="P72" i="3" l="1"/>
  <c r="Q72" i="3" s="1"/>
  <c r="D38" i="3"/>
  <c r="E38" i="3" s="1"/>
  <c r="AB86" i="3"/>
  <c r="AB103" i="3" s="1"/>
  <c r="AJ72" i="3"/>
  <c r="AK72" i="3" s="1"/>
  <c r="AJ71" i="3"/>
  <c r="D86" i="3"/>
  <c r="AC36" i="3"/>
  <c r="BG102" i="3"/>
  <c r="X38" i="3"/>
  <c r="AR63" i="3"/>
  <c r="AV63" i="3" s="1"/>
  <c r="BE88" i="3"/>
  <c r="BG81" i="3"/>
  <c r="AV56" i="3"/>
  <c r="AT56" i="3"/>
  <c r="AW56" i="3" s="1"/>
  <c r="AR64" i="3"/>
  <c r="AV64" i="3" s="1"/>
  <c r="AR66" i="3"/>
  <c r="AV66" i="3" s="1"/>
  <c r="BE77" i="3"/>
  <c r="BB77" i="3" s="1"/>
  <c r="AK20" i="3"/>
  <c r="BG80" i="3"/>
  <c r="AJ21" i="3"/>
  <c r="Q54" i="3"/>
  <c r="AR67" i="3"/>
  <c r="N20" i="3"/>
  <c r="AR30" i="3"/>
  <c r="AT30" i="3" s="1"/>
  <c r="AW30" i="3" s="1"/>
  <c r="AV54" i="3"/>
  <c r="AV84" i="3"/>
  <c r="E72" i="3"/>
  <c r="AC72" i="3"/>
  <c r="AO54" i="3"/>
  <c r="V38" i="3"/>
  <c r="V86" i="3" s="1"/>
  <c r="W20" i="3"/>
  <c r="AV30" i="3"/>
  <c r="W54" i="3"/>
  <c r="X72" i="3"/>
  <c r="Q38" i="3"/>
  <c r="R91" i="3" s="1"/>
  <c r="R86" i="3"/>
  <c r="U92" i="3" s="1"/>
  <c r="AO20" i="3"/>
  <c r="AV20" i="3"/>
  <c r="AR31" i="3"/>
  <c r="BG6" i="3"/>
  <c r="BF22" i="3"/>
  <c r="BF40" i="3"/>
  <c r="BF88" i="3"/>
  <c r="BG88" i="3" s="1"/>
  <c r="K38" i="3"/>
  <c r="L86" i="3"/>
  <c r="AQ51" i="3"/>
  <c r="AQ67" i="3" s="1"/>
  <c r="AS67" i="3"/>
  <c r="AT51" i="3"/>
  <c r="AR33" i="3"/>
  <c r="AR22" i="3"/>
  <c r="AR25" i="3"/>
  <c r="AV25" i="3" s="1"/>
  <c r="Q20" i="3"/>
  <c r="AM38" i="3"/>
  <c r="AK38" i="3"/>
  <c r="AL86" i="3"/>
  <c r="AT20" i="3"/>
  <c r="AO77" i="3"/>
  <c r="AV77" i="3"/>
  <c r="G72" i="3"/>
  <c r="H72" i="3" s="1"/>
  <c r="P86" i="3"/>
  <c r="AV65" i="3"/>
  <c r="AT65" i="3"/>
  <c r="AW65" i="3" s="1"/>
  <c r="AR29" i="3"/>
  <c r="AR27" i="3"/>
  <c r="N91" i="3"/>
  <c r="BB54" i="3"/>
  <c r="BE84" i="3"/>
  <c r="K36" i="3"/>
  <c r="BB20" i="3"/>
  <c r="AW74" i="3"/>
  <c r="AT77" i="3"/>
  <c r="AW77" i="3" s="1"/>
  <c r="S72" i="3"/>
  <c r="T72" i="3" s="1"/>
  <c r="K70" i="3"/>
  <c r="AC38" i="3"/>
  <c r="AD86" i="3"/>
  <c r="AD103" i="3" s="1"/>
  <c r="AG38" i="3"/>
  <c r="AH86" i="3"/>
  <c r="AH103" i="3" s="1"/>
  <c r="H36" i="3"/>
  <c r="G38" i="3"/>
  <c r="T20" i="3"/>
  <c r="U38" i="3"/>
  <c r="AT32" i="3"/>
  <c r="AW32" i="3" s="1"/>
  <c r="BF34" i="3"/>
  <c r="BF52" i="3"/>
  <c r="BG18" i="3"/>
  <c r="W36" i="3"/>
  <c r="BF51" i="3"/>
  <c r="BG17" i="3"/>
  <c r="BF33" i="3"/>
  <c r="AR28" i="3"/>
  <c r="AR26" i="3"/>
  <c r="M72" i="3"/>
  <c r="AT64" i="3"/>
  <c r="AW64" i="3" s="1"/>
  <c r="AT54" i="3"/>
  <c r="N54" i="3"/>
  <c r="BG75" i="3"/>
  <c r="BG83" i="3"/>
  <c r="BG84" i="3" s="1"/>
  <c r="AW81" i="3"/>
  <c r="AT84" i="3"/>
  <c r="AW84" i="3" s="1"/>
  <c r="BG74" i="3"/>
  <c r="AR70" i="3" l="1"/>
  <c r="AJ86" i="3"/>
  <c r="AJ103" i="3" s="1"/>
  <c r="AJ106" i="3" s="1"/>
  <c r="AT63" i="3"/>
  <c r="AW63" i="3" s="1"/>
  <c r="BG77" i="3"/>
  <c r="AT67" i="3"/>
  <c r="AT66" i="3"/>
  <c r="AW66" i="3" s="1"/>
  <c r="BG20" i="3"/>
  <c r="AM86" i="3"/>
  <c r="AL103" i="3"/>
  <c r="X92" i="3"/>
  <c r="W72" i="3"/>
  <c r="M86" i="3"/>
  <c r="N72" i="3"/>
  <c r="T38" i="3"/>
  <c r="U86" i="3"/>
  <c r="X90" i="3" s="1"/>
  <c r="AH109" i="3"/>
  <c r="AH111" i="3" s="1"/>
  <c r="AH105" i="3"/>
  <c r="AH106" i="3" s="1"/>
  <c r="BE66" i="3"/>
  <c r="BG66" i="3" s="1"/>
  <c r="BE68" i="3"/>
  <c r="BE56" i="3"/>
  <c r="BE64" i="3"/>
  <c r="BG64" i="3" s="1"/>
  <c r="BE65" i="3"/>
  <c r="BG65" i="3" s="1"/>
  <c r="BE67" i="3"/>
  <c r="AO70" i="3"/>
  <c r="AR72" i="3"/>
  <c r="AV70" i="3"/>
  <c r="AV27" i="3"/>
  <c r="AT27" i="3"/>
  <c r="AW27" i="3" s="1"/>
  <c r="AR36" i="3"/>
  <c r="AV22" i="3"/>
  <c r="AT22" i="3"/>
  <c r="S86" i="3"/>
  <c r="AT26" i="3"/>
  <c r="AW26" i="3" s="1"/>
  <c r="AV26" i="3"/>
  <c r="AT29" i="3"/>
  <c r="AW29" i="3" s="1"/>
  <c r="AV29" i="3"/>
  <c r="AS20" i="3"/>
  <c r="AQ20" i="3" s="1"/>
  <c r="AW20" i="3"/>
  <c r="AV33" i="3"/>
  <c r="AT33" i="3"/>
  <c r="AW33" i="3" s="1"/>
  <c r="BD40" i="3"/>
  <c r="BD56" i="3" s="1"/>
  <c r="BG40" i="3"/>
  <c r="BF56" i="3"/>
  <c r="AV31" i="3"/>
  <c r="AT31" i="3"/>
  <c r="AW31" i="3" s="1"/>
  <c r="X86" i="3"/>
  <c r="X103" i="3" s="1"/>
  <c r="BF20" i="3"/>
  <c r="BF67" i="3"/>
  <c r="BG51" i="3"/>
  <c r="BD52" i="3"/>
  <c r="BD68" i="3" s="1"/>
  <c r="BF68" i="3"/>
  <c r="BG52" i="3"/>
  <c r="AS54" i="3"/>
  <c r="AQ54" i="3" s="1"/>
  <c r="AW54" i="3"/>
  <c r="AV28" i="3"/>
  <c r="AT28" i="3"/>
  <c r="AW28" i="3" s="1"/>
  <c r="G86" i="3"/>
  <c r="H38" i="3"/>
  <c r="H91" i="3" s="1"/>
  <c r="AD105" i="3"/>
  <c r="AD106" i="3" s="1"/>
  <c r="AD109" i="3"/>
  <c r="AD111" i="3" s="1"/>
  <c r="W38" i="3"/>
  <c r="BG56" i="3" l="1"/>
  <c r="BG67" i="3"/>
  <c r="BG68" i="3"/>
  <c r="K91" i="3"/>
  <c r="AT70" i="3"/>
  <c r="AO72" i="3"/>
  <c r="AV72" i="3"/>
  <c r="BG70" i="3"/>
  <c r="BE70" i="3"/>
  <c r="AM103" i="3"/>
  <c r="AL109" i="3"/>
  <c r="AL105" i="3"/>
  <c r="AL106" i="3" s="1"/>
  <c r="BE26" i="3"/>
  <c r="BG26" i="3" s="1"/>
  <c r="BE29" i="3"/>
  <c r="BG29" i="3" s="1"/>
  <c r="BE30" i="3"/>
  <c r="BG30" i="3" s="1"/>
  <c r="AV36" i="3"/>
  <c r="BE27" i="3"/>
  <c r="BG27" i="3" s="1"/>
  <c r="AO36" i="3"/>
  <c r="BE22" i="3"/>
  <c r="BE28" i="3"/>
  <c r="BG28" i="3" s="1"/>
  <c r="BE32" i="3"/>
  <c r="BG32" i="3" s="1"/>
  <c r="BE33" i="3"/>
  <c r="BG33" i="3" s="1"/>
  <c r="BE34" i="3"/>
  <c r="BG34" i="3" s="1"/>
  <c r="BE31" i="3"/>
  <c r="BG31" i="3" s="1"/>
  <c r="AR38" i="3"/>
  <c r="BD20" i="3"/>
  <c r="BG54" i="3"/>
  <c r="AW22" i="3"/>
  <c r="AT36" i="3"/>
  <c r="AS70" i="3" l="1"/>
  <c r="AQ70" i="3" s="1"/>
  <c r="AT72" i="3"/>
  <c r="AW70" i="3"/>
  <c r="AR86" i="3"/>
  <c r="AV38" i="3"/>
  <c r="AO38" i="3"/>
  <c r="BF70" i="3"/>
  <c r="BD70" i="3" s="1"/>
  <c r="AW36" i="3"/>
  <c r="AS36" i="3"/>
  <c r="AQ36" i="3" s="1"/>
  <c r="AT38" i="3"/>
  <c r="BB70" i="3"/>
  <c r="BE72" i="3"/>
  <c r="BB72" i="3" s="1"/>
  <c r="BF54" i="3"/>
  <c r="BD54" i="3" s="1"/>
  <c r="BG72" i="3"/>
  <c r="BE36" i="3"/>
  <c r="BG22" i="3"/>
  <c r="BG36" i="3" s="1"/>
  <c r="AM109" i="3"/>
  <c r="AL111" i="3"/>
  <c r="AM111" i="3" s="1"/>
  <c r="AN109" i="3"/>
  <c r="BF72" i="3" l="1"/>
  <c r="AW72" i="3"/>
  <c r="AS72" i="3"/>
  <c r="AQ72" i="3" s="1"/>
  <c r="AS38" i="3"/>
  <c r="AQ38" i="3" s="1"/>
  <c r="AW38" i="3"/>
  <c r="AT86" i="3"/>
  <c r="BB36" i="3"/>
  <c r="BE38" i="3"/>
  <c r="BF36" i="3"/>
  <c r="BD36" i="3" s="1"/>
  <c r="BG38" i="3"/>
  <c r="AR103" i="3"/>
  <c r="AV103" i="3" s="1"/>
  <c r="AV86" i="3"/>
  <c r="AO86" i="3"/>
  <c r="BD72" i="3" l="1"/>
  <c r="AT103" i="3"/>
  <c r="AW86" i="3"/>
  <c r="BF38" i="3"/>
  <c r="BD38" i="3" s="1"/>
  <c r="BG86" i="3"/>
  <c r="BG103" i="3" s="1"/>
  <c r="BB38" i="3"/>
  <c r="BE86" i="3"/>
  <c r="C66" i="2"/>
  <c r="E66" i="2" s="1"/>
  <c r="C64" i="2"/>
  <c r="E64" i="2" s="1"/>
  <c r="C60" i="2"/>
  <c r="C58" i="2"/>
  <c r="C52" i="2"/>
  <c r="C47" i="2"/>
  <c r="C50" i="2"/>
  <c r="C45" i="2"/>
  <c r="C42" i="2"/>
  <c r="B44" i="2"/>
  <c r="B49" i="2" s="1"/>
  <c r="B42" i="2"/>
  <c r="B47" i="2" s="1"/>
  <c r="E42" i="2" l="1"/>
  <c r="I42" i="2"/>
  <c r="G42" i="2"/>
  <c r="I58" i="2"/>
  <c r="G58" i="2"/>
  <c r="E58" i="2"/>
  <c r="G60" i="2"/>
  <c r="E60" i="2"/>
  <c r="F60" i="2" s="1"/>
  <c r="I60" i="2"/>
  <c r="E52" i="2"/>
  <c r="I52" i="2"/>
  <c r="G52" i="2"/>
  <c r="H52" i="2" s="1"/>
  <c r="E47" i="2"/>
  <c r="G47" i="2"/>
  <c r="I47" i="2"/>
  <c r="BB86" i="3"/>
  <c r="BE103" i="3"/>
  <c r="BJ103" i="3"/>
  <c r="BJ105" i="3" s="1"/>
  <c r="AW103" i="3"/>
  <c r="AW106" i="3" s="1"/>
  <c r="AZ107" i="3"/>
  <c r="AZ109" i="3" s="1"/>
  <c r="I64" i="2"/>
  <c r="J64" i="2" s="1"/>
  <c r="G64" i="2"/>
  <c r="H64" i="2" s="1"/>
  <c r="F64" i="2"/>
  <c r="C53" i="2"/>
  <c r="F52" i="2"/>
  <c r="J52" i="2"/>
  <c r="I66" i="2"/>
  <c r="J66" i="2" s="1"/>
  <c r="G66" i="2"/>
  <c r="H66" i="2" s="1"/>
  <c r="J60" i="2"/>
  <c r="F66" i="2"/>
  <c r="H60" i="2"/>
  <c r="C49" i="2"/>
  <c r="C44" i="2"/>
  <c r="C61" i="2"/>
  <c r="I49" i="2" l="1"/>
  <c r="G49" i="2"/>
  <c r="I44" i="2"/>
  <c r="J44" i="2" s="1"/>
  <c r="G44" i="2"/>
  <c r="H44" i="2" s="1"/>
  <c r="E44" i="2"/>
  <c r="F44" i="2" s="1"/>
  <c r="E49" i="2"/>
  <c r="F49" i="2" s="1"/>
  <c r="BJ107" i="3"/>
  <c r="BJ109" i="3" s="1"/>
  <c r="E61" i="2"/>
  <c r="F58" i="2"/>
  <c r="H47" i="2"/>
  <c r="G61" i="2"/>
  <c r="H58" i="2"/>
  <c r="J47" i="2"/>
  <c r="I50" i="2"/>
  <c r="I61" i="2"/>
  <c r="J58" i="2"/>
  <c r="F47" i="2"/>
  <c r="H42" i="2"/>
  <c r="J49" i="2"/>
  <c r="H49" i="2"/>
  <c r="J42" i="2"/>
  <c r="C69" i="2"/>
  <c r="C73" i="2" s="1"/>
  <c r="F42" i="2"/>
  <c r="E45" i="2" l="1"/>
  <c r="E50" i="2"/>
  <c r="G50" i="2"/>
  <c r="G45" i="2"/>
  <c r="C75" i="2"/>
  <c r="I45" i="2"/>
  <c r="I53" i="2" s="1"/>
  <c r="E53" i="2" l="1"/>
  <c r="F53" i="2"/>
  <c r="E69" i="2"/>
  <c r="F69" i="2" s="1"/>
  <c r="E54" i="2"/>
  <c r="G53" i="2"/>
  <c r="J53" i="2"/>
  <c r="I69" i="2"/>
  <c r="I72" i="2" s="1"/>
  <c r="H53" i="2" l="1"/>
  <c r="G69" i="2"/>
  <c r="E72" i="2"/>
  <c r="F72" i="2" s="1"/>
  <c r="F75" i="2" s="1"/>
  <c r="J69" i="2"/>
  <c r="J75" i="2" l="1"/>
  <c r="G72" i="2"/>
  <c r="G75" i="2" s="1"/>
  <c r="E75" i="2"/>
  <c r="E73" i="2"/>
  <c r="H69" i="2"/>
  <c r="J72" i="2"/>
  <c r="I73" i="2"/>
  <c r="I75" i="2"/>
  <c r="H72" i="2" l="1"/>
  <c r="H75" i="2" s="1"/>
  <c r="G73" i="2"/>
  <c r="G28" i="1" l="1"/>
  <c r="G8" i="1" l="1"/>
  <c r="G13" i="1"/>
  <c r="G18" i="1"/>
  <c r="G23" i="1"/>
  <c r="G33" i="1"/>
  <c r="G59" i="1"/>
  <c r="G66" i="1" s="1"/>
  <c r="G80" i="1"/>
  <c r="E80" i="1"/>
  <c r="D80" i="1"/>
  <c r="G39" i="1" l="1"/>
  <c r="G84" i="1" s="1"/>
  <c r="G86" i="1" s="1"/>
  <c r="F59" i="1" l="1"/>
  <c r="D23" i="1"/>
  <c r="D59" i="1"/>
  <c r="D66" i="1" s="1"/>
  <c r="E59" i="1"/>
  <c r="E66" i="1" s="1"/>
  <c r="D33" i="1"/>
  <c r="D28" i="1"/>
  <c r="D18" i="1"/>
  <c r="D13" i="1"/>
  <c r="E23" i="1"/>
  <c r="D8" i="1"/>
  <c r="F8" i="1"/>
  <c r="E8" i="1"/>
  <c r="D39" i="1" l="1"/>
  <c r="F28" i="1"/>
  <c r="F18" i="1"/>
  <c r="E33" i="1"/>
  <c r="E18" i="1"/>
  <c r="F23" i="1"/>
  <c r="E13" i="1"/>
  <c r="E28" i="1"/>
  <c r="F33" i="1"/>
  <c r="F13" i="1"/>
  <c r="F66" i="1"/>
  <c r="D84" i="1" l="1"/>
  <c r="D86" i="1" s="1"/>
  <c r="D81" i="1"/>
  <c r="E39" i="1"/>
  <c r="F39" i="1"/>
  <c r="F81" i="1" s="1"/>
  <c r="E84" i="1" l="1"/>
  <c r="E86" i="1" s="1"/>
  <c r="E81" i="1"/>
  <c r="F84" i="1"/>
  <c r="F86" i="1" l="1"/>
</calcChain>
</file>

<file path=xl/comments1.xml><?xml version="1.0" encoding="utf-8"?>
<comments xmlns="http://schemas.openxmlformats.org/spreadsheetml/2006/main">
  <authors>
    <author>Brandon Neish (Budget)</author>
  </authors>
  <commentList>
    <comment ref="AK102" authorId="0">
      <text>
        <r>
          <rPr>
            <b/>
            <sz val="9"/>
            <color indexed="81"/>
            <rFont val="Tahoma"/>
            <family val="2"/>
          </rPr>
          <t>Brandon Neish (Budget):</t>
        </r>
        <r>
          <rPr>
            <sz val="9"/>
            <color indexed="81"/>
            <rFont val="Tahoma"/>
            <family val="2"/>
          </rPr>
          <t xml:space="preserve">
Average of continuing ed rates</t>
        </r>
      </text>
    </comment>
    <comment ref="AD108" authorId="0">
      <text>
        <r>
          <rPr>
            <b/>
            <sz val="9"/>
            <color indexed="81"/>
            <rFont val="Tahoma"/>
            <family val="2"/>
          </rPr>
          <t>Brandon Neish (Budget):</t>
        </r>
        <r>
          <rPr>
            <sz val="9"/>
            <color indexed="81"/>
            <rFont val="Tahoma"/>
            <family val="2"/>
          </rPr>
          <t xml:space="preserve">
FWIBUDG - Acct 019%</t>
        </r>
      </text>
    </comment>
  </commentList>
</comments>
</file>

<file path=xl/comments2.xml><?xml version="1.0" encoding="utf-8"?>
<comments xmlns="http://schemas.openxmlformats.org/spreadsheetml/2006/main">
  <authors>
    <author>Brandon Neish (Budget)</author>
  </authors>
  <commentList>
    <comment ref="F69" authorId="0">
      <text>
        <r>
          <rPr>
            <b/>
            <sz val="9"/>
            <color indexed="81"/>
            <rFont val="Tahoma"/>
            <family val="2"/>
          </rPr>
          <t>Brandon Neish (Budget):</t>
        </r>
        <r>
          <rPr>
            <sz val="9"/>
            <color indexed="81"/>
            <rFont val="Tahoma"/>
            <family val="2"/>
          </rPr>
          <t xml:space="preserve">
Includes Athletic laurel remissions.</t>
        </r>
      </text>
    </comment>
  </commentList>
</comments>
</file>

<file path=xl/sharedStrings.xml><?xml version="1.0" encoding="utf-8"?>
<sst xmlns="http://schemas.openxmlformats.org/spreadsheetml/2006/main" count="348" uniqueCount="195">
  <si>
    <t>FY18
Budget</t>
  </si>
  <si>
    <t>General Fund</t>
  </si>
  <si>
    <t>01106</t>
  </si>
  <si>
    <t>Wstrn Undergrad Exch (WUE) Tuition</t>
  </si>
  <si>
    <t>Summer Session Even Year</t>
  </si>
  <si>
    <t>Summer Session Odd Year</t>
  </si>
  <si>
    <t>01501</t>
  </si>
  <si>
    <t>Res UG Tuit- General</t>
  </si>
  <si>
    <t>01641</t>
  </si>
  <si>
    <t>Sum Res UG Tuit- General</t>
  </si>
  <si>
    <t>01536</t>
  </si>
  <si>
    <t>NR UG Tuit- General</t>
  </si>
  <si>
    <t>01676</t>
  </si>
  <si>
    <t>Sum NR UG Tuit- General</t>
  </si>
  <si>
    <t>01180</t>
  </si>
  <si>
    <t>Continuing Ed Credit Tuition</t>
  </si>
  <si>
    <t>01571</t>
  </si>
  <si>
    <t>Res Grad Tuit- General</t>
  </si>
  <si>
    <t>01811</t>
  </si>
  <si>
    <t>Sum Res Grad Tuit- General</t>
  </si>
  <si>
    <t>01606</t>
  </si>
  <si>
    <t>NR Grad Tuit- General</t>
  </si>
  <si>
    <t>01846</t>
  </si>
  <si>
    <t>Sum NR Grad Tuit- General</t>
  </si>
  <si>
    <t>01103</t>
  </si>
  <si>
    <t>Fac/Staff/Qualified Transferee Tuit</t>
  </si>
  <si>
    <t>01700</t>
  </si>
  <si>
    <t>Other Student Fees</t>
  </si>
  <si>
    <t>01702</t>
  </si>
  <si>
    <t>Music Fee</t>
  </si>
  <si>
    <t>01705</t>
  </si>
  <si>
    <t>Special Exam Fee</t>
  </si>
  <si>
    <t>01710</t>
  </si>
  <si>
    <t>Authorized Course Fees</t>
  </si>
  <si>
    <t>01715</t>
  </si>
  <si>
    <t>Authorized Lab Fees</t>
  </si>
  <si>
    <t>01721</t>
  </si>
  <si>
    <t>Application Fee &amp; Late Charge</t>
  </si>
  <si>
    <t>01722</t>
  </si>
  <si>
    <t>Late Registration/Pmt Fee</t>
  </si>
  <si>
    <t>01723</t>
  </si>
  <si>
    <t>Change of Program Fee</t>
  </si>
  <si>
    <t>01724</t>
  </si>
  <si>
    <t>Reinstatement Fee</t>
  </si>
  <si>
    <t>01725</t>
  </si>
  <si>
    <t>Degree Application Fee</t>
  </si>
  <si>
    <t>01726</t>
  </si>
  <si>
    <t>Refund Penalty Fee</t>
  </si>
  <si>
    <t>01727</t>
  </si>
  <si>
    <t>Acceptance Fee</t>
  </si>
  <si>
    <t>01731</t>
  </si>
  <si>
    <t>Study Abroad Fees</t>
  </si>
  <si>
    <t>01751</t>
  </si>
  <si>
    <t>Placement Service Fee</t>
  </si>
  <si>
    <t>01752</t>
  </si>
  <si>
    <t>Counseling &amp; Testing Fee</t>
  </si>
  <si>
    <t>01795</t>
  </si>
  <si>
    <t>Other Special Services Fees</t>
  </si>
  <si>
    <t>01799</t>
  </si>
  <si>
    <t>Miscellaneous Student Fees</t>
  </si>
  <si>
    <t>01200</t>
  </si>
  <si>
    <t>Study Resources Fees</t>
  </si>
  <si>
    <t>01211</t>
  </si>
  <si>
    <t>Technology Resource Fee - Res</t>
  </si>
  <si>
    <t>01213</t>
  </si>
  <si>
    <t>Matriculation Resource Fee</t>
  </si>
  <si>
    <t>01910</t>
  </si>
  <si>
    <t>Oregon Educational Diversity Init</t>
  </si>
  <si>
    <t>01931</t>
  </si>
  <si>
    <t>International Student Fee Rem</t>
  </si>
  <si>
    <t>01932</t>
  </si>
  <si>
    <t>Cultural Serv Prog Fee Rem</t>
  </si>
  <si>
    <t>01941</t>
  </si>
  <si>
    <t>OUS International Exch Fee Rem</t>
  </si>
  <si>
    <t>01942</t>
  </si>
  <si>
    <t>Inst International Exch Fee Rem</t>
  </si>
  <si>
    <t>01965</t>
  </si>
  <si>
    <t>VOYAGER Fee Rem</t>
  </si>
  <si>
    <t>01966</t>
  </si>
  <si>
    <t>Veterans' Dependent Fee Remission</t>
  </si>
  <si>
    <t>01967</t>
  </si>
  <si>
    <t>Non-Res Veterans Fee Remission</t>
  </si>
  <si>
    <t>01968</t>
  </si>
  <si>
    <t>Yellow Ribbon Program Fee Rem</t>
  </si>
  <si>
    <t>01970</t>
  </si>
  <si>
    <t>OUS Supp Tuition Grant Fee Rem</t>
  </si>
  <si>
    <t>01991</t>
  </si>
  <si>
    <t>OR Foster Youth Tuition&amp;Fee Waiver</t>
  </si>
  <si>
    <t>FY17
Budget</t>
  </si>
  <si>
    <t>FY17
Actual</t>
  </si>
  <si>
    <t>Summer Session</t>
  </si>
  <si>
    <t xml:space="preserve">Summer Session </t>
  </si>
  <si>
    <t>Summer WUE</t>
  </si>
  <si>
    <t>Western Oregon University</t>
  </si>
  <si>
    <t>Actual Revenues To 12/31/2017</t>
  </si>
  <si>
    <t>Student Tuition and Fee Revenues to 12-31-17</t>
  </si>
  <si>
    <t>Tuition and Fees Remission Projection Model</t>
  </si>
  <si>
    <t>FY 18 Budget</t>
  </si>
  <si>
    <t>Description</t>
  </si>
  <si>
    <t>Resident UG - Non-Promise</t>
  </si>
  <si>
    <t>Resident UG - Promise</t>
  </si>
  <si>
    <t>Per Credit Hour</t>
  </si>
  <si>
    <t>Rate</t>
  </si>
  <si>
    <t>Total Resident UG</t>
  </si>
  <si>
    <t>WUE - Non-Promise</t>
  </si>
  <si>
    <t>WUE - Promise</t>
  </si>
  <si>
    <t>Total WUE</t>
  </si>
  <si>
    <t>Undergraduate</t>
  </si>
  <si>
    <t>Graduate</t>
  </si>
  <si>
    <t>Total Undergraduate</t>
  </si>
  <si>
    <t>Non-Resident UG</t>
  </si>
  <si>
    <t>Grad Resident</t>
  </si>
  <si>
    <t>Grad Non-Resident</t>
  </si>
  <si>
    <t>Total Graduate</t>
  </si>
  <si>
    <t>On-Line</t>
  </si>
  <si>
    <t>Faculty/Staff</t>
  </si>
  <si>
    <t>Total Tuition</t>
  </si>
  <si>
    <t>Less:  Fee Remissions</t>
  </si>
  <si>
    <t>Total Net Tuition</t>
  </si>
  <si>
    <t>Assumptions:</t>
  </si>
  <si>
    <t>Scenario #1</t>
  </si>
  <si>
    <t>Scenario #2</t>
  </si>
  <si>
    <t>Scenario #3</t>
  </si>
  <si>
    <t>Change to Non-Resident UG Tuition</t>
  </si>
  <si>
    <t>Change to Resident Grad Tuition</t>
  </si>
  <si>
    <t>Change to On-Line Tuition</t>
  </si>
  <si>
    <t>Enrollment Change to WUE</t>
  </si>
  <si>
    <t>Enrollment Change to Non-Resident UG</t>
  </si>
  <si>
    <t>Enrollment Change to Resident Grad</t>
  </si>
  <si>
    <t>Change to Non-Resident Grad Tuition</t>
  </si>
  <si>
    <t>Enrollment Change to Non-Resident Grad</t>
  </si>
  <si>
    <t>Enrollment Change to On-Line</t>
  </si>
  <si>
    <t>Change to Resident UG Tuition - Non-Promise</t>
  </si>
  <si>
    <t>Enrollment Change to Resident  UG Non-Promise</t>
  </si>
  <si>
    <t>Change to Resident UG Tuition - Promise</t>
  </si>
  <si>
    <t>Enrollment Change to Resident  UG Promise</t>
  </si>
  <si>
    <t>Various</t>
  </si>
  <si>
    <t>Fee Remissions as % of Gross Tuition</t>
  </si>
  <si>
    <t>Net Tuition &amp; Fees</t>
  </si>
  <si>
    <t>Other fee revenue</t>
  </si>
  <si>
    <t>Incremental Net Revenue</t>
  </si>
  <si>
    <t>Net Revenue</t>
  </si>
  <si>
    <t>Remissions</t>
  </si>
  <si>
    <t>Projected Net Revenue</t>
  </si>
  <si>
    <t>% change</t>
  </si>
  <si>
    <t>Incremental Remission</t>
  </si>
  <si>
    <t>Difference from FY16 Actual</t>
  </si>
  <si>
    <t>Difference from FY15 Actual</t>
  </si>
  <si>
    <t>TOTAL TUITION REVENUE</t>
  </si>
  <si>
    <t>CONTINUING ED REVENUE</t>
  </si>
  <si>
    <t>not the 8% we have been using then taking 1/3 to determine the annual rate.</t>
  </si>
  <si>
    <t>FTE Inc</t>
  </si>
  <si>
    <t>Revenue</t>
  </si>
  <si>
    <t>Actual</t>
  </si>
  <si>
    <t xml:space="preserve">Average </t>
  </si>
  <si>
    <t>Faculty &amp; Staff</t>
  </si>
  <si>
    <t>Total Fiscal Year</t>
  </si>
  <si>
    <t>Non-Resident - Summer</t>
  </si>
  <si>
    <t>Non-Resident - AY</t>
  </si>
  <si>
    <t>Resident - Summer</t>
  </si>
  <si>
    <t>Resident - AY</t>
  </si>
  <si>
    <t>Grad:</t>
  </si>
  <si>
    <t>Non-Resident Undergrad</t>
  </si>
  <si>
    <t>Non-Resident Undergrad Summer</t>
  </si>
  <si>
    <t>Non-Resident Undergrad AY</t>
  </si>
  <si>
    <t>Total FTE/Ave Rate/Total Revenue</t>
  </si>
  <si>
    <t>Total Summer WUE UG</t>
  </si>
  <si>
    <t>WUE Promise</t>
  </si>
  <si>
    <t>*WUE Promise</t>
  </si>
  <si>
    <t>SUMMER - WUE Non-Promise/Choice</t>
  </si>
  <si>
    <t>Total AY WUE UG</t>
  </si>
  <si>
    <t>WUE Non-Promise/2013 Choice</t>
  </si>
  <si>
    <t>Total Summer Resident UG</t>
  </si>
  <si>
    <t xml:space="preserve">Promise </t>
  </si>
  <si>
    <t>SUMMER - Resident Non-Promise/2013 Choice</t>
  </si>
  <si>
    <t>Total AY Resident UG</t>
  </si>
  <si>
    <t>Resident Non-Promise/2013 Choice</t>
  </si>
  <si>
    <t>Remission Amount</t>
  </si>
  <si>
    <t>Discount Rate</t>
  </si>
  <si>
    <t>tuition</t>
  </si>
  <si>
    <t>per cr. rate</t>
  </si>
  <si>
    <t>fte</t>
  </si>
  <si>
    <t>∆ in $
from FY17</t>
  </si>
  <si>
    <t>∆ in FTE
from FY17</t>
  </si>
  <si>
    <t>Variance from FY17 Budget</t>
  </si>
  <si>
    <t>per cr. Rate</t>
  </si>
  <si>
    <t>Undergrad:.</t>
  </si>
  <si>
    <t>2019 Initial Budget</t>
  </si>
  <si>
    <t>Rate Increase</t>
  </si>
  <si>
    <t>Enrollment Increase</t>
  </si>
  <si>
    <t>2018 Initial Budget</t>
  </si>
  <si>
    <t>Enrollment 
Increase</t>
  </si>
  <si>
    <t>2017 Actual</t>
  </si>
  <si>
    <t>2017 Initial Budget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</si>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</sst>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_(* #,##0_);_(* \(#,##0\);_(* &quot;-&quot;??_);_(@_)"/>
    <numFmt numFmtId="166" formatCode="0.0%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theme="1"/>
      <name val="Calibri"/>
      <family val="2"/>
    </font>
    <font>
      <b/>
      <u/>
      <sz val="10"/>
      <color theme="1"/>
      <name val="Calibri"/>
      <family val="2"/>
    </font>
    <font>
      <u/>
      <sz val="12"/>
      <color theme="1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color theme="1"/>
      <name val="Garamond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7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5">
    <xf numFmtId="164" fontId="0" fillId="0" borderId="0" xfId="0"/>
    <xf numFmtId="164" fontId="2" fillId="0" borderId="0" xfId="0" applyFont="1"/>
    <xf numFmtId="49" fontId="3" fillId="0" borderId="0" xfId="0" applyNumberFormat="1" applyFont="1"/>
    <xf numFmtId="164" fontId="3" fillId="0" borderId="0" xfId="0" applyFont="1"/>
    <xf numFmtId="43" fontId="3" fillId="0" borderId="0" xfId="1" applyFont="1"/>
    <xf numFmtId="5" fontId="3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5" fontId="8" fillId="0" borderId="0" xfId="0" applyNumberFormat="1" applyFont="1"/>
    <xf numFmtId="5" fontId="7" fillId="0" borderId="0" xfId="0" applyNumberFormat="1" applyFont="1"/>
    <xf numFmtId="49" fontId="7" fillId="2" borderId="0" xfId="0" applyNumberFormat="1" applyFont="1" applyFill="1"/>
    <xf numFmtId="5" fontId="9" fillId="2" borderId="0" xfId="0" applyNumberFormat="1" applyFont="1" applyFill="1"/>
    <xf numFmtId="5" fontId="8" fillId="0" borderId="0" xfId="1" applyNumberFormat="1" applyFont="1"/>
    <xf numFmtId="164" fontId="8" fillId="0" borderId="0" xfId="0" applyFont="1"/>
    <xf numFmtId="49" fontId="8" fillId="0" borderId="0" xfId="0" applyNumberFormat="1" applyFont="1" applyFill="1"/>
    <xf numFmtId="5" fontId="8" fillId="0" borderId="0" xfId="0" applyNumberFormat="1" applyFont="1" applyFill="1"/>
    <xf numFmtId="49" fontId="8" fillId="2" borderId="0" xfId="0" applyNumberFormat="1" applyFont="1" applyFill="1"/>
    <xf numFmtId="10" fontId="8" fillId="0" borderId="0" xfId="2" applyNumberFormat="1" applyFont="1"/>
    <xf numFmtId="5" fontId="10" fillId="0" borderId="0" xfId="0" applyNumberFormat="1" applyFont="1"/>
    <xf numFmtId="49" fontId="11" fillId="0" borderId="0" xfId="0" applyNumberFormat="1" applyFont="1"/>
    <xf numFmtId="5" fontId="11" fillId="0" borderId="0" xfId="0" applyNumberFormat="1" applyFont="1" applyAlignment="1">
      <alignment horizontal="center" wrapText="1"/>
    </xf>
    <xf numFmtId="14" fontId="11" fillId="0" borderId="0" xfId="0" applyNumberFormat="1" applyFont="1" applyAlignment="1">
      <alignment horizontal="center" wrapText="1"/>
    </xf>
    <xf numFmtId="164" fontId="12" fillId="0" borderId="0" xfId="0" applyFont="1"/>
    <xf numFmtId="5" fontId="13" fillId="0" borderId="0" xfId="0" applyNumberFormat="1" applyFont="1"/>
    <xf numFmtId="164" fontId="14" fillId="0" borderId="0" xfId="0" applyFont="1"/>
    <xf numFmtId="5" fontId="0" fillId="0" borderId="0" xfId="0" applyNumberFormat="1"/>
    <xf numFmtId="5" fontId="14" fillId="0" borderId="0" xfId="0" applyNumberFormat="1" applyFont="1"/>
    <xf numFmtId="164" fontId="15" fillId="0" borderId="0" xfId="0" applyFont="1"/>
    <xf numFmtId="5" fontId="15" fillId="0" borderId="0" xfId="0" applyNumberFormat="1" applyFont="1"/>
    <xf numFmtId="5" fontId="15" fillId="0" borderId="0" xfId="0" applyNumberFormat="1" applyFont="1" applyAlignment="1">
      <alignment horizontal="center"/>
    </xf>
    <xf numFmtId="5" fontId="14" fillId="0" borderId="0" xfId="0" applyNumberFormat="1" applyFont="1" applyAlignment="1">
      <alignment horizontal="center"/>
    </xf>
    <xf numFmtId="5" fontId="16" fillId="0" borderId="0" xfId="0" applyNumberFormat="1" applyFont="1"/>
    <xf numFmtId="5" fontId="0" fillId="3" borderId="0" xfId="0" applyNumberFormat="1" applyFill="1"/>
    <xf numFmtId="10" fontId="0" fillId="0" borderId="0" xfId="0" applyNumberFormat="1"/>
    <xf numFmtId="164" fontId="0" fillId="3" borderId="0" xfId="0" applyFill="1"/>
    <xf numFmtId="5" fontId="0" fillId="0" borderId="0" xfId="0" applyNumberFormat="1" applyFill="1"/>
    <xf numFmtId="5" fontId="16" fillId="3" borderId="0" xfId="0" applyNumberFormat="1" applyFont="1" applyFill="1"/>
    <xf numFmtId="165" fontId="0" fillId="3" borderId="0" xfId="0" applyNumberFormat="1" applyFill="1"/>
    <xf numFmtId="9" fontId="0" fillId="0" borderId="0" xfId="2" applyFont="1"/>
    <xf numFmtId="166" fontId="0" fillId="0" borderId="0" xfId="2" applyNumberFormat="1" applyFont="1"/>
    <xf numFmtId="164" fontId="14" fillId="4" borderId="0" xfId="0" applyFont="1" applyFill="1"/>
    <xf numFmtId="10" fontId="0" fillId="4" borderId="0" xfId="0" applyNumberFormat="1" applyFill="1"/>
    <xf numFmtId="164" fontId="0" fillId="4" borderId="0" xfId="0" applyFill="1"/>
    <xf numFmtId="164" fontId="14" fillId="0" borderId="0" xfId="0" applyFont="1" applyFill="1"/>
    <xf numFmtId="164" fontId="0" fillId="0" borderId="0" xfId="0" applyFill="1"/>
    <xf numFmtId="164" fontId="14" fillId="5" borderId="0" xfId="0" applyFont="1" applyFill="1"/>
    <xf numFmtId="10" fontId="0" fillId="5" borderId="0" xfId="0" applyNumberFormat="1" applyFill="1"/>
    <xf numFmtId="164" fontId="0" fillId="5" borderId="0" xfId="0" applyFill="1"/>
    <xf numFmtId="164" fontId="14" fillId="3" borderId="0" xfId="0" applyFont="1" applyFill="1"/>
    <xf numFmtId="5" fontId="14" fillId="3" borderId="0" xfId="0" applyNumberFormat="1" applyFont="1" applyFill="1"/>
    <xf numFmtId="44" fontId="0" fillId="0" borderId="0" xfId="3" applyFont="1" applyFill="1"/>
    <xf numFmtId="44" fontId="0" fillId="0" borderId="0" xfId="3" applyFont="1"/>
    <xf numFmtId="44" fontId="15" fillId="0" borderId="0" xfId="3" applyFont="1"/>
    <xf numFmtId="44" fontId="14" fillId="0" borderId="0" xfId="3" applyFont="1"/>
    <xf numFmtId="5" fontId="0" fillId="0" borderId="0" xfId="0" applyNumberFormat="1" applyFont="1"/>
    <xf numFmtId="10" fontId="0" fillId="0" borderId="0" xfId="2" applyNumberFormat="1" applyFont="1"/>
    <xf numFmtId="166" fontId="14" fillId="0" borderId="0" xfId="2" applyNumberFormat="1" applyFont="1" applyFill="1"/>
    <xf numFmtId="0" fontId="18" fillId="0" borderId="0" xfId="4" applyNumberFormat="1" applyFont="1" applyFill="1"/>
    <xf numFmtId="0" fontId="19" fillId="0" borderId="0" xfId="4" applyNumberFormat="1" applyFont="1" applyFill="1"/>
    <xf numFmtId="9" fontId="19" fillId="0" borderId="0" xfId="2" applyFont="1" applyFill="1"/>
    <xf numFmtId="43" fontId="20" fillId="0" borderId="0" xfId="1" applyNumberFormat="1" applyFont="1" applyFill="1"/>
    <xf numFmtId="165" fontId="20" fillId="0" borderId="0" xfId="1" applyNumberFormat="1" applyFont="1" applyFill="1"/>
    <xf numFmtId="0" fontId="20" fillId="0" borderId="0" xfId="4" applyNumberFormat="1" applyFont="1" applyFill="1"/>
    <xf numFmtId="165" fontId="18" fillId="0" borderId="0" xfId="1" applyNumberFormat="1" applyFont="1" applyFill="1"/>
    <xf numFmtId="165" fontId="20" fillId="6" borderId="0" xfId="1" applyNumberFormat="1" applyFont="1" applyFill="1"/>
    <xf numFmtId="43" fontId="18" fillId="0" borderId="0" xfId="1" applyFont="1" applyFill="1"/>
    <xf numFmtId="43" fontId="21" fillId="0" borderId="0" xfId="2" applyNumberFormat="1" applyFont="1" applyFill="1"/>
    <xf numFmtId="165" fontId="21" fillId="0" borderId="0" xfId="1" applyNumberFormat="1" applyFont="1" applyFill="1" applyAlignment="1">
      <alignment horizontal="right"/>
    </xf>
    <xf numFmtId="10" fontId="21" fillId="6" borderId="0" xfId="2" applyNumberFormat="1" applyFont="1" applyFill="1"/>
    <xf numFmtId="43" fontId="21" fillId="0" borderId="0" xfId="1" applyNumberFormat="1" applyFont="1" applyFill="1"/>
    <xf numFmtId="165" fontId="21" fillId="6" borderId="0" xfId="1" applyNumberFormat="1" applyFont="1" applyFill="1"/>
    <xf numFmtId="43" fontId="19" fillId="0" borderId="0" xfId="4" applyNumberFormat="1" applyFont="1" applyFill="1"/>
    <xf numFmtId="43" fontId="20" fillId="0" borderId="0" xfId="1" applyNumberFormat="1" applyFont="1" applyFill="1" applyBorder="1"/>
    <xf numFmtId="165" fontId="20" fillId="0" borderId="0" xfId="1" applyNumberFormat="1" applyFont="1" applyFill="1" applyBorder="1"/>
    <xf numFmtId="165" fontId="20" fillId="6" borderId="0" xfId="1" applyNumberFormat="1" applyFont="1" applyFill="1" applyBorder="1"/>
    <xf numFmtId="165" fontId="19" fillId="0" borderId="1" xfId="4" applyNumberFormat="1" applyFont="1" applyFill="1" applyBorder="1"/>
    <xf numFmtId="165" fontId="21" fillId="0" borderId="1" xfId="1" applyNumberFormat="1" applyFont="1" applyFill="1" applyBorder="1"/>
    <xf numFmtId="0" fontId="21" fillId="0" borderId="1" xfId="4" applyNumberFormat="1" applyFont="1" applyFill="1" applyBorder="1"/>
    <xf numFmtId="0" fontId="19" fillId="0" borderId="1" xfId="4" applyNumberFormat="1" applyFont="1" applyFill="1" applyBorder="1"/>
    <xf numFmtId="165" fontId="18" fillId="0" borderId="0" xfId="4" applyNumberFormat="1" applyFont="1" applyFill="1"/>
    <xf numFmtId="43" fontId="20" fillId="0" borderId="0" xfId="4" applyNumberFormat="1" applyFont="1" applyFill="1"/>
    <xf numFmtId="43" fontId="19" fillId="0" borderId="2" xfId="4" applyNumberFormat="1" applyFont="1" applyFill="1" applyBorder="1"/>
    <xf numFmtId="9" fontId="19" fillId="0" borderId="0" xfId="2" applyFont="1" applyFill="1" applyAlignment="1">
      <alignment horizontal="right"/>
    </xf>
    <xf numFmtId="43" fontId="20" fillId="0" borderId="0" xfId="1" applyFont="1" applyFill="1"/>
    <xf numFmtId="43" fontId="18" fillId="0" borderId="0" xfId="4" applyNumberFormat="1" applyFont="1" applyFill="1"/>
    <xf numFmtId="10" fontId="18" fillId="0" borderId="0" xfId="2" applyNumberFormat="1" applyFont="1" applyFill="1"/>
    <xf numFmtId="10" fontId="21" fillId="0" borderId="0" xfId="2" applyNumberFormat="1" applyFont="1" applyFill="1"/>
    <xf numFmtId="0" fontId="21" fillId="0" borderId="0" xfId="4" applyNumberFormat="1" applyFont="1" applyFill="1" applyAlignment="1">
      <alignment horizontal="right"/>
    </xf>
    <xf numFmtId="10" fontId="20" fillId="0" borderId="0" xfId="2" applyNumberFormat="1" applyFont="1" applyFill="1"/>
    <xf numFmtId="165" fontId="21" fillId="0" borderId="0" xfId="1" applyNumberFormat="1" applyFont="1" applyFill="1"/>
    <xf numFmtId="0" fontId="22" fillId="0" borderId="0" xfId="4" applyNumberFormat="1" applyFont="1" applyFill="1"/>
    <xf numFmtId="43" fontId="20" fillId="0" borderId="3" xfId="1" applyNumberFormat="1" applyFont="1" applyFill="1" applyBorder="1"/>
    <xf numFmtId="165" fontId="20" fillId="0" borderId="4" xfId="1" applyNumberFormat="1" applyFont="1" applyFill="1" applyBorder="1"/>
    <xf numFmtId="165" fontId="20" fillId="0" borderId="5" xfId="1" applyNumberFormat="1" applyFont="1" applyFill="1" applyBorder="1"/>
    <xf numFmtId="165" fontId="20" fillId="6" borderId="3" xfId="1" applyNumberFormat="1" applyFont="1" applyFill="1" applyBorder="1"/>
    <xf numFmtId="165" fontId="20" fillId="0" borderId="3" xfId="1" applyNumberFormat="1" applyFont="1" applyFill="1" applyBorder="1"/>
    <xf numFmtId="0" fontId="20" fillId="0" borderId="4" xfId="4" applyNumberFormat="1" applyFont="1" applyFill="1" applyBorder="1"/>
    <xf numFmtId="0" fontId="20" fillId="0" borderId="5" xfId="4" applyNumberFormat="1" applyFont="1" applyFill="1" applyBorder="1"/>
    <xf numFmtId="165" fontId="20" fillId="7" borderId="3" xfId="1" applyNumberFormat="1" applyFont="1" applyFill="1" applyBorder="1"/>
    <xf numFmtId="0" fontId="20" fillId="7" borderId="4" xfId="4" applyNumberFormat="1" applyFont="1" applyFill="1" applyBorder="1"/>
    <xf numFmtId="0" fontId="20" fillId="7" borderId="5" xfId="4" applyNumberFormat="1" applyFont="1" applyFill="1" applyBorder="1"/>
    <xf numFmtId="10" fontId="19" fillId="0" borderId="0" xfId="2" applyNumberFormat="1" applyFont="1" applyFill="1"/>
    <xf numFmtId="43" fontId="21" fillId="0" borderId="6" xfId="1" applyNumberFormat="1" applyFont="1" applyFill="1" applyBorder="1"/>
    <xf numFmtId="165" fontId="20" fillId="0" borderId="1" xfId="1" applyNumberFormat="1" applyFont="1" applyFill="1" applyBorder="1"/>
    <xf numFmtId="165" fontId="21" fillId="0" borderId="7" xfId="1" applyNumberFormat="1" applyFont="1" applyFill="1" applyBorder="1"/>
    <xf numFmtId="165" fontId="19" fillId="0" borderId="1" xfId="1" applyNumberFormat="1" applyFont="1" applyFill="1" applyBorder="1"/>
    <xf numFmtId="165" fontId="21" fillId="6" borderId="6" xfId="1" applyNumberFormat="1" applyFont="1" applyFill="1" applyBorder="1"/>
    <xf numFmtId="165" fontId="18" fillId="0" borderId="7" xfId="4" applyNumberFormat="1" applyFont="1" applyFill="1" applyBorder="1"/>
    <xf numFmtId="165" fontId="21" fillId="0" borderId="6" xfId="1" applyNumberFormat="1" applyFont="1" applyFill="1" applyBorder="1"/>
    <xf numFmtId="0" fontId="20" fillId="0" borderId="1" xfId="4" applyNumberFormat="1" applyFont="1" applyFill="1" applyBorder="1"/>
    <xf numFmtId="165" fontId="21" fillId="7" borderId="6" xfId="1" applyNumberFormat="1" applyFont="1" applyFill="1" applyBorder="1"/>
    <xf numFmtId="0" fontId="21" fillId="7" borderId="1" xfId="4" applyNumberFormat="1" applyFont="1" applyFill="1" applyBorder="1"/>
    <xf numFmtId="165" fontId="21" fillId="7" borderId="7" xfId="1" applyNumberFormat="1" applyFont="1" applyFill="1" applyBorder="1"/>
    <xf numFmtId="0" fontId="20" fillId="7" borderId="0" xfId="4" applyNumberFormat="1" applyFont="1" applyFill="1" applyBorder="1"/>
    <xf numFmtId="0" fontId="20" fillId="7" borderId="8" xfId="4" applyNumberFormat="1" applyFont="1" applyFill="1" applyBorder="1"/>
    <xf numFmtId="43" fontId="23" fillId="0" borderId="9" xfId="1" applyNumberFormat="1" applyFont="1" applyFill="1" applyBorder="1"/>
    <xf numFmtId="165" fontId="20" fillId="0" borderId="8" xfId="1" applyNumberFormat="1" applyFont="1" applyFill="1" applyBorder="1"/>
    <xf numFmtId="10" fontId="20" fillId="0" borderId="0" xfId="4" applyNumberFormat="1" applyFont="1" applyFill="1" applyBorder="1"/>
    <xf numFmtId="10" fontId="20" fillId="3" borderId="0" xfId="2" applyNumberFormat="1" applyFont="1" applyFill="1"/>
    <xf numFmtId="165" fontId="23" fillId="6" borderId="9" xfId="1" applyNumberFormat="1" applyFont="1" applyFill="1" applyBorder="1"/>
    <xf numFmtId="165" fontId="23" fillId="0" borderId="9" xfId="1" applyNumberFormat="1" applyFont="1" applyFill="1" applyBorder="1"/>
    <xf numFmtId="0" fontId="20" fillId="0" borderId="8" xfId="4" applyNumberFormat="1" applyFont="1" applyFill="1" applyBorder="1"/>
    <xf numFmtId="165" fontId="23" fillId="7" borderId="9" xfId="1" applyNumberFormat="1" applyFont="1" applyFill="1" applyBorder="1"/>
    <xf numFmtId="165" fontId="20" fillId="7" borderId="0" xfId="1" applyNumberFormat="1" applyFont="1" applyFill="1" applyBorder="1"/>
    <xf numFmtId="165" fontId="20" fillId="7" borderId="8" xfId="1" applyNumberFormat="1" applyFont="1" applyFill="1" applyBorder="1"/>
    <xf numFmtId="165" fontId="20" fillId="7" borderId="9" xfId="1" applyNumberFormat="1" applyFont="1" applyFill="1" applyBorder="1"/>
    <xf numFmtId="43" fontId="20" fillId="0" borderId="9" xfId="1" applyNumberFormat="1" applyFont="1" applyFill="1" applyBorder="1"/>
    <xf numFmtId="165" fontId="24" fillId="0" borderId="0" xfId="1" applyNumberFormat="1" applyFont="1" applyFill="1" applyBorder="1"/>
    <xf numFmtId="0" fontId="20" fillId="3" borderId="0" xfId="4" applyNumberFormat="1" applyFont="1" applyFill="1"/>
    <xf numFmtId="43" fontId="20" fillId="6" borderId="9" xfId="1" applyNumberFormat="1" applyFont="1" applyFill="1" applyBorder="1"/>
    <xf numFmtId="10" fontId="20" fillId="0" borderId="0" xfId="4" applyNumberFormat="1" applyFont="1" applyFill="1"/>
    <xf numFmtId="9" fontId="20" fillId="3" borderId="0" xfId="4" applyNumberFormat="1" applyFont="1" applyFill="1"/>
    <xf numFmtId="0" fontId="24" fillId="7" borderId="0" xfId="5" applyNumberFormat="1" applyFont="1" applyFill="1" applyBorder="1"/>
    <xf numFmtId="0" fontId="25" fillId="0" borderId="0" xfId="5" applyNumberFormat="1" applyFont="1" applyFill="1"/>
    <xf numFmtId="0" fontId="25" fillId="0" borderId="0" xfId="5" applyNumberFormat="1" applyFont="1" applyFill="1" applyBorder="1"/>
    <xf numFmtId="43" fontId="21" fillId="4" borderId="10" xfId="2" applyNumberFormat="1" applyFont="1" applyFill="1" applyBorder="1"/>
    <xf numFmtId="165" fontId="24" fillId="4" borderId="11" xfId="1" applyNumberFormat="1" applyFont="1" applyFill="1" applyBorder="1"/>
    <xf numFmtId="43" fontId="21" fillId="6" borderId="10" xfId="2" applyNumberFormat="1" applyFont="1" applyFill="1" applyBorder="1"/>
    <xf numFmtId="165" fontId="21" fillId="7" borderId="10" xfId="1" applyNumberFormat="1" applyFont="1" applyFill="1" applyBorder="1"/>
    <xf numFmtId="10" fontId="24" fillId="7" borderId="11" xfId="2" applyNumberFormat="1" applyFont="1" applyFill="1" applyBorder="1"/>
    <xf numFmtId="10" fontId="21" fillId="7" borderId="12" xfId="2" applyNumberFormat="1" applyFont="1" applyFill="1" applyBorder="1"/>
    <xf numFmtId="165" fontId="21" fillId="7" borderId="10" xfId="2" applyNumberFormat="1" applyFont="1" applyFill="1" applyBorder="1"/>
    <xf numFmtId="0" fontId="24" fillId="7" borderId="11" xfId="5" applyNumberFormat="1" applyFont="1" applyFill="1" applyBorder="1"/>
    <xf numFmtId="0" fontId="21" fillId="7" borderId="12" xfId="4" applyNumberFormat="1" applyFont="1" applyFill="1" applyBorder="1"/>
    <xf numFmtId="43" fontId="19" fillId="4" borderId="11" xfId="1" applyFont="1" applyFill="1" applyBorder="1"/>
    <xf numFmtId="0" fontId="25" fillId="4" borderId="11" xfId="5" applyNumberFormat="1" applyFont="1" applyFill="1" applyBorder="1"/>
    <xf numFmtId="0" fontId="19" fillId="4" borderId="11" xfId="4" applyNumberFormat="1" applyFont="1" applyFill="1" applyBorder="1"/>
    <xf numFmtId="0" fontId="19" fillId="4" borderId="11" xfId="5" applyNumberFormat="1" applyFont="1" applyFill="1" applyBorder="1"/>
    <xf numFmtId="0" fontId="18" fillId="4" borderId="11" xfId="4" applyNumberFormat="1" applyFont="1" applyFill="1" applyBorder="1"/>
    <xf numFmtId="165" fontId="24" fillId="3" borderId="13" xfId="1" applyNumberFormat="1" applyFont="1" applyFill="1" applyBorder="1"/>
    <xf numFmtId="10" fontId="24" fillId="7" borderId="13" xfId="2" applyNumberFormat="1" applyFont="1" applyFill="1" applyBorder="1"/>
    <xf numFmtId="10" fontId="24" fillId="7" borderId="14" xfId="2" applyNumberFormat="1" applyFont="1" applyFill="1" applyBorder="1"/>
    <xf numFmtId="10" fontId="25" fillId="3" borderId="13" xfId="2" applyNumberFormat="1" applyFont="1" applyFill="1" applyBorder="1"/>
    <xf numFmtId="0" fontId="25" fillId="3" borderId="13" xfId="5" applyNumberFormat="1" applyFont="1" applyFill="1" applyBorder="1"/>
    <xf numFmtId="10" fontId="20" fillId="7" borderId="0" xfId="2" applyNumberFormat="1" applyFont="1" applyFill="1" applyBorder="1"/>
    <xf numFmtId="165" fontId="24" fillId="4" borderId="13" xfId="1" applyNumberFormat="1" applyFont="1" applyFill="1" applyBorder="1"/>
    <xf numFmtId="43" fontId="26" fillId="0" borderId="0" xfId="1" applyFont="1" applyFill="1"/>
    <xf numFmtId="10" fontId="25" fillId="4" borderId="13" xfId="2" applyNumberFormat="1" applyFont="1" applyFill="1" applyBorder="1"/>
    <xf numFmtId="0" fontId="25" fillId="4" borderId="13" xfId="5" applyNumberFormat="1" applyFont="1" applyFill="1" applyBorder="1"/>
    <xf numFmtId="0" fontId="26" fillId="0" borderId="0" xfId="5" applyNumberFormat="1" applyFont="1" applyFill="1"/>
    <xf numFmtId="165" fontId="24" fillId="7" borderId="9" xfId="1" applyNumberFormat="1" applyFont="1" applyFill="1" applyBorder="1"/>
    <xf numFmtId="0" fontId="24" fillId="7" borderId="8" xfId="4" applyNumberFormat="1" applyFont="1" applyFill="1" applyBorder="1"/>
    <xf numFmtId="43" fontId="25" fillId="0" borderId="0" xfId="1" applyFont="1" applyFill="1"/>
    <xf numFmtId="0" fontId="25" fillId="0" borderId="0" xfId="4" applyNumberFormat="1" applyFont="1" applyFill="1"/>
    <xf numFmtId="165" fontId="21" fillId="0" borderId="0" xfId="1" applyNumberFormat="1" applyFont="1" applyFill="1" applyBorder="1" applyAlignment="1">
      <alignment horizontal="center"/>
    </xf>
    <xf numFmtId="43" fontId="23" fillId="6" borderId="9" xfId="1" applyNumberFormat="1" applyFont="1" applyFill="1" applyBorder="1"/>
    <xf numFmtId="0" fontId="21" fillId="7" borderId="0" xfId="4" applyNumberFormat="1" applyFont="1" applyFill="1" applyBorder="1" applyAlignment="1">
      <alignment horizontal="center"/>
    </xf>
    <xf numFmtId="0" fontId="21" fillId="7" borderId="8" xfId="4" applyNumberFormat="1" applyFont="1" applyFill="1" applyBorder="1" applyAlignment="1">
      <alignment horizontal="center"/>
    </xf>
    <xf numFmtId="0" fontId="19" fillId="0" borderId="0" xfId="4" applyNumberFormat="1" applyFont="1" applyFill="1" applyAlignment="1">
      <alignment horizontal="center"/>
    </xf>
    <xf numFmtId="43" fontId="19" fillId="0" borderId="0" xfId="1" applyFont="1" applyFill="1" applyAlignment="1">
      <alignment horizontal="center"/>
    </xf>
    <xf numFmtId="0" fontId="23" fillId="7" borderId="8" xfId="5" applyNumberFormat="1" applyFont="1" applyFill="1" applyBorder="1"/>
    <xf numFmtId="0" fontId="26" fillId="0" borderId="0" xfId="6" applyNumberFormat="1" applyFont="1" applyFill="1"/>
    <xf numFmtId="165" fontId="23" fillId="7" borderId="8" xfId="1" applyNumberFormat="1" applyFont="1" applyFill="1" applyBorder="1"/>
    <xf numFmtId="0" fontId="23" fillId="7" borderId="8" xfId="7" applyNumberFormat="1" applyFont="1" applyFill="1" applyBorder="1"/>
    <xf numFmtId="43" fontId="21" fillId="0" borderId="9" xfId="1" applyNumberFormat="1" applyFont="1" applyFill="1" applyBorder="1"/>
    <xf numFmtId="165" fontId="21" fillId="0" borderId="0" xfId="1" applyNumberFormat="1" applyFont="1" applyFill="1" applyBorder="1"/>
    <xf numFmtId="165" fontId="21" fillId="0" borderId="8" xfId="1" applyNumberFormat="1" applyFont="1" applyFill="1" applyBorder="1"/>
    <xf numFmtId="165" fontId="21" fillId="6" borderId="9" xfId="1" applyNumberFormat="1" applyFont="1" applyFill="1" applyBorder="1"/>
    <xf numFmtId="165" fontId="21" fillId="0" borderId="9" xfId="1" applyNumberFormat="1" applyFont="1" applyFill="1" applyBorder="1"/>
    <xf numFmtId="0" fontId="21" fillId="0" borderId="0" xfId="4" applyNumberFormat="1" applyFont="1" applyFill="1" applyBorder="1"/>
    <xf numFmtId="0" fontId="21" fillId="0" borderId="8" xfId="4" applyNumberFormat="1" applyFont="1" applyFill="1" applyBorder="1"/>
    <xf numFmtId="165" fontId="21" fillId="7" borderId="9" xfId="1" applyNumberFormat="1" applyFont="1" applyFill="1" applyBorder="1"/>
    <xf numFmtId="0" fontId="21" fillId="7" borderId="0" xfId="4" applyNumberFormat="1" applyFont="1" applyFill="1" applyBorder="1"/>
    <xf numFmtId="0" fontId="21" fillId="7" borderId="8" xfId="4" applyNumberFormat="1" applyFont="1" applyFill="1" applyBorder="1"/>
    <xf numFmtId="43" fontId="19" fillId="0" borderId="0" xfId="1" applyFont="1" applyFill="1" applyBorder="1"/>
    <xf numFmtId="0" fontId="19" fillId="0" borderId="0" xfId="4" applyNumberFormat="1" applyFont="1" applyFill="1" applyBorder="1"/>
    <xf numFmtId="0" fontId="19" fillId="0" borderId="0" xfId="8" applyNumberFormat="1" applyFont="1" applyFill="1" applyBorder="1"/>
    <xf numFmtId="0" fontId="18" fillId="0" borderId="0" xfId="4" applyNumberFormat="1" applyFont="1" applyFill="1" applyAlignment="1">
      <alignment horizontal="center"/>
    </xf>
    <xf numFmtId="43" fontId="21" fillId="0" borderId="3" xfId="1" applyNumberFormat="1" applyFont="1" applyFill="1" applyBorder="1"/>
    <xf numFmtId="165" fontId="21" fillId="0" borderId="4" xfId="1" applyNumberFormat="1" applyFont="1" applyFill="1" applyBorder="1"/>
    <xf numFmtId="165" fontId="21" fillId="0" borderId="15" xfId="1" applyNumberFormat="1" applyFont="1" applyFill="1" applyBorder="1"/>
    <xf numFmtId="0" fontId="20" fillId="0" borderId="16" xfId="4" applyNumberFormat="1" applyFont="1" applyFill="1" applyBorder="1"/>
    <xf numFmtId="10" fontId="21" fillId="0" borderId="15" xfId="2" applyNumberFormat="1" applyFont="1" applyFill="1" applyBorder="1"/>
    <xf numFmtId="165" fontId="19" fillId="0" borderId="16" xfId="4" applyNumberFormat="1" applyFont="1" applyFill="1" applyBorder="1"/>
    <xf numFmtId="165" fontId="18" fillId="0" borderId="16" xfId="1" applyNumberFormat="1" applyFont="1" applyFill="1" applyBorder="1"/>
    <xf numFmtId="165" fontId="21" fillId="6" borderId="3" xfId="1" applyNumberFormat="1" applyFont="1" applyFill="1" applyBorder="1"/>
    <xf numFmtId="165" fontId="18" fillId="0" borderId="15" xfId="4" applyNumberFormat="1" applyFont="1" applyFill="1" applyBorder="1"/>
    <xf numFmtId="165" fontId="21" fillId="0" borderId="3" xfId="1" applyNumberFormat="1" applyFont="1" applyFill="1" applyBorder="1"/>
    <xf numFmtId="0" fontId="21" fillId="0" borderId="4" xfId="4" applyNumberFormat="1" applyFont="1" applyFill="1" applyBorder="1"/>
    <xf numFmtId="0" fontId="21" fillId="0" borderId="15" xfId="4" applyNumberFormat="1" applyFont="1" applyFill="1" applyBorder="1"/>
    <xf numFmtId="165" fontId="21" fillId="7" borderId="3" xfId="1" applyNumberFormat="1" applyFont="1" applyFill="1" applyBorder="1"/>
    <xf numFmtId="0" fontId="21" fillId="7" borderId="4" xfId="4" applyNumberFormat="1" applyFont="1" applyFill="1" applyBorder="1"/>
    <xf numFmtId="0" fontId="21" fillId="7" borderId="15" xfId="4" applyNumberFormat="1" applyFont="1" applyFill="1" applyBorder="1"/>
    <xf numFmtId="43" fontId="19" fillId="8" borderId="4" xfId="1" applyFont="1" applyFill="1" applyBorder="1"/>
    <xf numFmtId="0" fontId="19" fillId="8" borderId="4" xfId="4" applyNumberFormat="1" applyFont="1" applyFill="1" applyBorder="1"/>
    <xf numFmtId="0" fontId="19" fillId="8" borderId="15" xfId="4" applyNumberFormat="1" applyFont="1" applyFill="1" applyBorder="1"/>
    <xf numFmtId="0" fontId="19" fillId="8" borderId="3" xfId="8" applyNumberFormat="1" applyFont="1" applyFill="1" applyBorder="1"/>
    <xf numFmtId="43" fontId="19" fillId="8" borderId="3" xfId="1" applyFont="1" applyFill="1" applyBorder="1"/>
    <xf numFmtId="0" fontId="19" fillId="8" borderId="17" xfId="8" applyNumberFormat="1" applyFont="1" applyFill="1" applyBorder="1"/>
    <xf numFmtId="0" fontId="19" fillId="8" borderId="16" xfId="4" applyNumberFormat="1" applyFont="1" applyFill="1" applyBorder="1"/>
    <xf numFmtId="43" fontId="23" fillId="0" borderId="18" xfId="1" applyNumberFormat="1" applyFont="1" applyFill="1" applyBorder="1"/>
    <xf numFmtId="165" fontId="20" fillId="0" borderId="19" xfId="1" applyNumberFormat="1" applyFont="1" applyFill="1" applyBorder="1"/>
    <xf numFmtId="165" fontId="20" fillId="0" borderId="20" xfId="1" applyNumberFormat="1" applyFont="1" applyFill="1" applyBorder="1"/>
    <xf numFmtId="0" fontId="20" fillId="0" borderId="0" xfId="4" applyNumberFormat="1" applyFont="1" applyFill="1" applyBorder="1"/>
    <xf numFmtId="165" fontId="23" fillId="6" borderId="18" xfId="1" applyNumberFormat="1" applyFont="1" applyFill="1" applyBorder="1"/>
    <xf numFmtId="165" fontId="23" fillId="0" borderId="18" xfId="1" applyNumberFormat="1" applyFont="1" applyFill="1" applyBorder="1"/>
    <xf numFmtId="0" fontId="20" fillId="0" borderId="19" xfId="4" applyNumberFormat="1" applyFont="1" applyFill="1" applyBorder="1"/>
    <xf numFmtId="0" fontId="20" fillId="0" borderId="20" xfId="4" applyNumberFormat="1" applyFont="1" applyFill="1" applyBorder="1"/>
    <xf numFmtId="165" fontId="23" fillId="7" borderId="18" xfId="1" applyNumberFormat="1" applyFont="1" applyFill="1" applyBorder="1"/>
    <xf numFmtId="0" fontId="20" fillId="7" borderId="19" xfId="4" applyNumberFormat="1" applyFont="1" applyFill="1" applyBorder="1"/>
    <xf numFmtId="0" fontId="20" fillId="7" borderId="20" xfId="4" applyNumberFormat="1" applyFont="1" applyFill="1" applyBorder="1"/>
    <xf numFmtId="43" fontId="26" fillId="8" borderId="19" xfId="1" applyFont="1" applyFill="1" applyBorder="1"/>
    <xf numFmtId="0" fontId="18" fillId="8" borderId="19" xfId="4" applyNumberFormat="1" applyFont="1" applyFill="1" applyBorder="1"/>
    <xf numFmtId="0" fontId="18" fillId="8" borderId="20" xfId="4" applyNumberFormat="1" applyFont="1" applyFill="1" applyBorder="1"/>
    <xf numFmtId="0" fontId="26" fillId="8" borderId="18" xfId="7" applyNumberFormat="1" applyFont="1" applyFill="1" applyBorder="1"/>
    <xf numFmtId="43" fontId="26" fillId="8" borderId="18" xfId="1" applyFont="1" applyFill="1" applyBorder="1"/>
    <xf numFmtId="0" fontId="26" fillId="8" borderId="21" xfId="8" applyNumberFormat="1" applyFont="1" applyFill="1" applyBorder="1"/>
    <xf numFmtId="0" fontId="18" fillId="8" borderId="22" xfId="4" applyNumberFormat="1" applyFont="1" applyFill="1" applyBorder="1"/>
    <xf numFmtId="0" fontId="18" fillId="8" borderId="23" xfId="4" applyNumberFormat="1" applyFont="1" applyFill="1" applyBorder="1"/>
    <xf numFmtId="0" fontId="18" fillId="0" borderId="0" xfId="4" applyNumberFormat="1" applyFont="1" applyFill="1" applyBorder="1"/>
    <xf numFmtId="43" fontId="21" fillId="0" borderId="21" xfId="1" applyNumberFormat="1" applyFont="1" applyFill="1" applyBorder="1"/>
    <xf numFmtId="165" fontId="21" fillId="0" borderId="22" xfId="1" applyNumberFormat="1" applyFont="1" applyFill="1" applyBorder="1"/>
    <xf numFmtId="165" fontId="21" fillId="0" borderId="23" xfId="1" applyNumberFormat="1" applyFont="1" applyFill="1" applyBorder="1"/>
    <xf numFmtId="10" fontId="21" fillId="0" borderId="22" xfId="2" applyNumberFormat="1" applyFont="1" applyFill="1" applyBorder="1"/>
    <xf numFmtId="0" fontId="20" fillId="0" borderId="22" xfId="4" applyNumberFormat="1" applyFont="1" applyFill="1" applyBorder="1"/>
    <xf numFmtId="10" fontId="21" fillId="0" borderId="23" xfId="2" applyNumberFormat="1" applyFont="1" applyFill="1" applyBorder="1"/>
    <xf numFmtId="165" fontId="19" fillId="0" borderId="22" xfId="4" applyNumberFormat="1" applyFont="1" applyFill="1" applyBorder="1"/>
    <xf numFmtId="165" fontId="18" fillId="0" borderId="22" xfId="1" applyNumberFormat="1" applyFont="1" applyFill="1" applyBorder="1"/>
    <xf numFmtId="165" fontId="21" fillId="6" borderId="21" xfId="1" applyNumberFormat="1" applyFont="1" applyFill="1" applyBorder="1"/>
    <xf numFmtId="165" fontId="18" fillId="0" borderId="23" xfId="4" applyNumberFormat="1" applyFont="1" applyFill="1" applyBorder="1"/>
    <xf numFmtId="165" fontId="21" fillId="0" borderId="21" xfId="1" applyNumberFormat="1" applyFont="1" applyFill="1" applyBorder="1"/>
    <xf numFmtId="0" fontId="21" fillId="0" borderId="22" xfId="4" applyNumberFormat="1" applyFont="1" applyFill="1" applyBorder="1"/>
    <xf numFmtId="0" fontId="21" fillId="0" borderId="23" xfId="4" applyNumberFormat="1" applyFont="1" applyFill="1" applyBorder="1"/>
    <xf numFmtId="165" fontId="21" fillId="7" borderId="21" xfId="1" applyNumberFormat="1" applyFont="1" applyFill="1" applyBorder="1"/>
    <xf numFmtId="0" fontId="21" fillId="7" borderId="22" xfId="4" applyNumberFormat="1" applyFont="1" applyFill="1" applyBorder="1"/>
    <xf numFmtId="165" fontId="21" fillId="7" borderId="23" xfId="1" applyNumberFormat="1" applyFont="1" applyFill="1" applyBorder="1"/>
    <xf numFmtId="0" fontId="21" fillId="7" borderId="23" xfId="4" applyNumberFormat="1" applyFont="1" applyFill="1" applyBorder="1"/>
    <xf numFmtId="43" fontId="19" fillId="0" borderId="22" xfId="1" applyFont="1" applyFill="1" applyBorder="1"/>
    <xf numFmtId="0" fontId="19" fillId="0" borderId="22" xfId="4" applyNumberFormat="1" applyFont="1" applyFill="1" applyBorder="1"/>
    <xf numFmtId="0" fontId="19" fillId="0" borderId="23" xfId="4" applyNumberFormat="1" applyFont="1" applyFill="1" applyBorder="1"/>
    <xf numFmtId="0" fontId="19" fillId="0" borderId="21" xfId="7" applyNumberFormat="1" applyFont="1" applyFill="1" applyBorder="1"/>
    <xf numFmtId="43" fontId="19" fillId="0" borderId="21" xfId="1" applyFont="1" applyFill="1" applyBorder="1"/>
    <xf numFmtId="0" fontId="19" fillId="0" borderId="21" xfId="8" applyNumberFormat="1" applyFont="1" applyFill="1" applyBorder="1"/>
    <xf numFmtId="10" fontId="20" fillId="3" borderId="8" xfId="2" applyNumberFormat="1" applyFont="1" applyFill="1" applyBorder="1"/>
    <xf numFmtId="43" fontId="26" fillId="0" borderId="0" xfId="1" applyFont="1" applyFill="1" applyBorder="1"/>
    <xf numFmtId="0" fontId="18" fillId="0" borderId="8" xfId="4" applyNumberFormat="1" applyFont="1" applyFill="1" applyBorder="1"/>
    <xf numFmtId="0" fontId="26" fillId="0" borderId="9" xfId="7" applyNumberFormat="1" applyFont="1" applyFill="1" applyBorder="1"/>
    <xf numFmtId="43" fontId="26" fillId="0" borderId="9" xfId="1" applyFont="1" applyFill="1" applyBorder="1"/>
    <xf numFmtId="0" fontId="26" fillId="0" borderId="9" xfId="8" applyNumberFormat="1" applyFont="1" applyFill="1" applyBorder="1"/>
    <xf numFmtId="165" fontId="20" fillId="6" borderId="9" xfId="1" applyNumberFormat="1" applyFont="1" applyFill="1" applyBorder="1"/>
    <xf numFmtId="165" fontId="20" fillId="0" borderId="9" xfId="1" applyNumberFormat="1" applyFont="1" applyFill="1" applyBorder="1"/>
    <xf numFmtId="0" fontId="26" fillId="0" borderId="0" xfId="9" applyNumberFormat="1" applyFont="1" applyFill="1" applyBorder="1"/>
    <xf numFmtId="0" fontId="27" fillId="0" borderId="0" xfId="4" applyNumberFormat="1" applyFont="1" applyFill="1"/>
    <xf numFmtId="165" fontId="19" fillId="0" borderId="0" xfId="1" applyNumberFormat="1" applyFont="1" applyFill="1"/>
    <xf numFmtId="0" fontId="19" fillId="0" borderId="8" xfId="4" applyNumberFormat="1" applyFont="1" applyFill="1" applyBorder="1"/>
    <xf numFmtId="0" fontId="19" fillId="0" borderId="9" xfId="7" applyNumberFormat="1" applyFont="1" applyFill="1" applyBorder="1"/>
    <xf numFmtId="43" fontId="19" fillId="0" borderId="9" xfId="1" applyFont="1" applyFill="1" applyBorder="1"/>
    <xf numFmtId="0" fontId="19" fillId="0" borderId="9" xfId="8" applyNumberFormat="1" applyFont="1" applyFill="1" applyBorder="1"/>
    <xf numFmtId="1" fontId="21" fillId="7" borderId="23" xfId="4" applyNumberFormat="1" applyFont="1" applyFill="1" applyBorder="1"/>
    <xf numFmtId="165" fontId="26" fillId="0" borderId="0" xfId="1" applyNumberFormat="1" applyFont="1" applyFill="1"/>
    <xf numFmtId="10" fontId="21" fillId="0" borderId="0" xfId="2" applyNumberFormat="1" applyFont="1" applyFill="1" applyBorder="1"/>
    <xf numFmtId="10" fontId="21" fillId="0" borderId="8" xfId="2" applyNumberFormat="1" applyFont="1" applyFill="1" applyBorder="1"/>
    <xf numFmtId="165" fontId="19" fillId="0" borderId="0" xfId="4" applyNumberFormat="1" applyFont="1" applyFill="1"/>
    <xf numFmtId="0" fontId="27" fillId="0" borderId="0" xfId="4" applyNumberFormat="1" applyFont="1" applyFill="1" applyAlignment="1">
      <alignment horizontal="right" indent="1"/>
    </xf>
    <xf numFmtId="10" fontId="20" fillId="0" borderId="8" xfId="2" applyNumberFormat="1" applyFont="1" applyFill="1" applyBorder="1"/>
    <xf numFmtId="0" fontId="26" fillId="0" borderId="0" xfId="7" applyNumberFormat="1" applyFont="1" applyFill="1"/>
    <xf numFmtId="165" fontId="23" fillId="0" borderId="8" xfId="1" applyNumberFormat="1" applyFont="1" applyFill="1" applyBorder="1"/>
    <xf numFmtId="0" fontId="23" fillId="0" borderId="8" xfId="5" applyNumberFormat="1" applyFont="1" applyFill="1" applyBorder="1"/>
    <xf numFmtId="43" fontId="26" fillId="8" borderId="0" xfId="1" applyFont="1" applyFill="1" applyBorder="1"/>
    <xf numFmtId="0" fontId="18" fillId="8" borderId="0" xfId="4" applyNumberFormat="1" applyFont="1" applyFill="1" applyBorder="1"/>
    <xf numFmtId="0" fontId="26" fillId="8" borderId="8" xfId="5" applyNumberFormat="1" applyFont="1" applyFill="1" applyBorder="1"/>
    <xf numFmtId="0" fontId="26" fillId="8" borderId="9" xfId="7" applyNumberFormat="1" applyFont="1" applyFill="1" applyBorder="1"/>
    <xf numFmtId="43" fontId="26" fillId="8" borderId="9" xfId="1" applyFont="1" applyFill="1" applyBorder="1"/>
    <xf numFmtId="0" fontId="26" fillId="8" borderId="9" xfId="8" applyNumberFormat="1" applyFont="1" applyFill="1" applyBorder="1"/>
    <xf numFmtId="0" fontId="18" fillId="8" borderId="8" xfId="4" applyNumberFormat="1" applyFont="1" applyFill="1" applyBorder="1"/>
    <xf numFmtId="43" fontId="19" fillId="8" borderId="0" xfId="1" applyFont="1" applyFill="1" applyBorder="1"/>
    <xf numFmtId="0" fontId="19" fillId="8" borderId="0" xfId="4" applyNumberFormat="1" applyFont="1" applyFill="1" applyBorder="1"/>
    <xf numFmtId="0" fontId="19" fillId="8" borderId="8" xfId="4" applyNumberFormat="1" applyFont="1" applyFill="1" applyBorder="1"/>
    <xf numFmtId="0" fontId="19" fillId="8" borderId="9" xfId="7" applyNumberFormat="1" applyFont="1" applyFill="1" applyBorder="1"/>
    <xf numFmtId="43" fontId="19" fillId="8" borderId="9" xfId="1" applyFont="1" applyFill="1" applyBorder="1"/>
    <xf numFmtId="0" fontId="19" fillId="8" borderId="9" xfId="8" applyNumberFormat="1" applyFont="1" applyFill="1" applyBorder="1"/>
    <xf numFmtId="43" fontId="26" fillId="8" borderId="0" xfId="1" applyFont="1" applyFill="1"/>
    <xf numFmtId="0" fontId="26" fillId="8" borderId="0" xfId="7" applyNumberFormat="1" applyFont="1" applyFill="1"/>
    <xf numFmtId="0" fontId="20" fillId="7" borderId="8" xfId="2" applyNumberFormat="1" applyFont="1" applyFill="1" applyBorder="1"/>
    <xf numFmtId="165" fontId="19" fillId="0" borderId="23" xfId="4" applyNumberFormat="1" applyFont="1" applyFill="1" applyBorder="1"/>
    <xf numFmtId="1" fontId="21" fillId="0" borderId="23" xfId="4" applyNumberFormat="1" applyFont="1" applyFill="1" applyBorder="1"/>
    <xf numFmtId="43" fontId="19" fillId="8" borderId="22" xfId="1" applyFont="1" applyFill="1" applyBorder="1"/>
    <xf numFmtId="0" fontId="19" fillId="8" borderId="22" xfId="4" applyNumberFormat="1" applyFont="1" applyFill="1" applyBorder="1"/>
    <xf numFmtId="0" fontId="19" fillId="8" borderId="23" xfId="4" applyNumberFormat="1" applyFont="1" applyFill="1" applyBorder="1"/>
    <xf numFmtId="0" fontId="19" fillId="8" borderId="21" xfId="7" applyNumberFormat="1" applyFont="1" applyFill="1" applyBorder="1"/>
    <xf numFmtId="43" fontId="19" fillId="8" borderId="21" xfId="1" applyFont="1" applyFill="1" applyBorder="1"/>
    <xf numFmtId="0" fontId="19" fillId="8" borderId="21" xfId="8" applyNumberFormat="1" applyFont="1" applyFill="1" applyBorder="1"/>
    <xf numFmtId="0" fontId="21" fillId="0" borderId="8" xfId="1" applyNumberFormat="1" applyFont="1" applyFill="1" applyBorder="1"/>
    <xf numFmtId="0" fontId="21" fillId="7" borderId="8" xfId="1" applyNumberFormat="1" applyFont="1" applyFill="1" applyBorder="1"/>
    <xf numFmtId="0" fontId="20" fillId="0" borderId="8" xfId="1" applyNumberFormat="1" applyFont="1" applyFill="1" applyBorder="1"/>
    <xf numFmtId="0" fontId="20" fillId="7" borderId="8" xfId="1" applyNumberFormat="1" applyFont="1" applyFill="1" applyBorder="1"/>
    <xf numFmtId="1" fontId="20" fillId="0" borderId="0" xfId="4" applyNumberFormat="1" applyFont="1" applyFill="1" applyBorder="1"/>
    <xf numFmtId="165" fontId="23" fillId="7" borderId="24" xfId="1" applyNumberFormat="1" applyFont="1" applyFill="1" applyBorder="1"/>
    <xf numFmtId="0" fontId="20" fillId="7" borderId="25" xfId="4" applyNumberFormat="1" applyFont="1" applyFill="1" applyBorder="1"/>
    <xf numFmtId="0" fontId="20" fillId="7" borderId="26" xfId="4" applyNumberFormat="1" applyFont="1" applyFill="1" applyBorder="1"/>
    <xf numFmtId="0" fontId="26" fillId="8" borderId="24" xfId="8" applyNumberFormat="1" applyFont="1" applyFill="1" applyBorder="1"/>
    <xf numFmtId="0" fontId="18" fillId="8" borderId="25" xfId="4" applyNumberFormat="1" applyFont="1" applyFill="1" applyBorder="1"/>
    <xf numFmtId="0" fontId="18" fillId="8" borderId="26" xfId="4" applyNumberFormat="1" applyFont="1" applyFill="1" applyBorder="1"/>
    <xf numFmtId="0" fontId="25" fillId="0" borderId="0" xfId="4" applyNumberFormat="1" applyFont="1" applyFill="1" applyAlignment="1">
      <alignment horizontal="center"/>
    </xf>
    <xf numFmtId="0" fontId="27" fillId="0" borderId="0" xfId="4" applyNumberFormat="1" applyFont="1" applyFill="1" applyAlignment="1">
      <alignment horizontal="center" wrapText="1"/>
    </xf>
    <xf numFmtId="9" fontId="27" fillId="0" borderId="0" xfId="2" applyFont="1" applyFill="1" applyAlignment="1">
      <alignment horizontal="center" wrapText="1"/>
    </xf>
    <xf numFmtId="43" fontId="24" fillId="0" borderId="27" xfId="1" applyNumberFormat="1" applyFont="1" applyFill="1" applyBorder="1" applyAlignment="1">
      <alignment horizontal="center"/>
    </xf>
    <xf numFmtId="165" fontId="24" fillId="0" borderId="28" xfId="1" applyNumberFormat="1" applyFont="1" applyFill="1" applyBorder="1" applyAlignment="1">
      <alignment horizontal="center" wrapText="1"/>
    </xf>
    <xf numFmtId="165" fontId="24" fillId="0" borderId="29" xfId="1" applyNumberFormat="1" applyFont="1" applyFill="1" applyBorder="1" applyAlignment="1">
      <alignment horizontal="center"/>
    </xf>
    <xf numFmtId="0" fontId="24" fillId="7" borderId="11" xfId="4" applyNumberFormat="1" applyFont="1" applyFill="1" applyBorder="1" applyAlignment="1">
      <alignment horizontal="center"/>
    </xf>
    <xf numFmtId="0" fontId="24" fillId="7" borderId="12" xfId="4" applyNumberFormat="1" applyFont="1" applyFill="1" applyBorder="1" applyAlignment="1">
      <alignment horizontal="center"/>
    </xf>
    <xf numFmtId="0" fontId="25" fillId="0" borderId="0" xfId="4" applyNumberFormat="1" applyFont="1" applyFill="1" applyAlignment="1">
      <alignment horizontal="center" wrapText="1"/>
    </xf>
    <xf numFmtId="165" fontId="25" fillId="0" borderId="0" xfId="1" applyNumberFormat="1" applyFont="1" applyFill="1" applyAlignment="1">
      <alignment horizontal="center" wrapText="1"/>
    </xf>
    <xf numFmtId="165" fontId="24" fillId="6" borderId="27" xfId="1" applyNumberFormat="1" applyFont="1" applyFill="1" applyBorder="1" applyAlignment="1">
      <alignment horizontal="center"/>
    </xf>
    <xf numFmtId="165" fontId="24" fillId="0" borderId="27" xfId="1" applyNumberFormat="1" applyFont="1" applyFill="1" applyBorder="1" applyAlignment="1">
      <alignment horizontal="center"/>
    </xf>
    <xf numFmtId="0" fontId="24" fillId="0" borderId="28" xfId="4" applyNumberFormat="1" applyFont="1" applyFill="1" applyBorder="1" applyAlignment="1">
      <alignment horizontal="center" wrapText="1"/>
    </xf>
    <xf numFmtId="0" fontId="24" fillId="0" borderId="29" xfId="4" applyNumberFormat="1" applyFont="1" applyFill="1" applyBorder="1" applyAlignment="1">
      <alignment horizontal="center"/>
    </xf>
    <xf numFmtId="165" fontId="24" fillId="7" borderId="27" xfId="1" applyNumberFormat="1" applyFont="1" applyFill="1" applyBorder="1" applyAlignment="1">
      <alignment horizontal="center"/>
    </xf>
    <xf numFmtId="0" fontId="24" fillId="7" borderId="28" xfId="4" applyNumberFormat="1" applyFont="1" applyFill="1" applyBorder="1" applyAlignment="1">
      <alignment horizontal="center" wrapText="1"/>
    </xf>
    <xf numFmtId="0" fontId="24" fillId="7" borderId="29" xfId="4" applyNumberFormat="1" applyFont="1" applyFill="1" applyBorder="1" applyAlignment="1">
      <alignment horizontal="center"/>
    </xf>
    <xf numFmtId="43" fontId="25" fillId="8" borderId="30" xfId="1" applyFont="1" applyFill="1" applyBorder="1" applyAlignment="1">
      <alignment horizontal="center"/>
    </xf>
    <xf numFmtId="0" fontId="25" fillId="8" borderId="28" xfId="4" applyNumberFormat="1" applyFont="1" applyFill="1" applyBorder="1" applyAlignment="1">
      <alignment horizontal="center"/>
    </xf>
    <xf numFmtId="0" fontId="25" fillId="8" borderId="29" xfId="4" applyNumberFormat="1" applyFont="1" applyFill="1" applyBorder="1" applyAlignment="1">
      <alignment horizontal="center"/>
    </xf>
    <xf numFmtId="0" fontId="25" fillId="8" borderId="27" xfId="4" applyNumberFormat="1" applyFont="1" applyFill="1" applyBorder="1" applyAlignment="1">
      <alignment horizontal="center"/>
    </xf>
    <xf numFmtId="43" fontId="25" fillId="8" borderId="27" xfId="1" applyFont="1" applyFill="1" applyBorder="1" applyAlignment="1">
      <alignment horizontal="center"/>
    </xf>
    <xf numFmtId="0" fontId="25" fillId="8" borderId="31" xfId="4" applyNumberFormat="1" applyFont="1" applyFill="1" applyBorder="1" applyAlignment="1">
      <alignment horizontal="center"/>
    </xf>
    <xf numFmtId="0" fontId="25" fillId="8" borderId="32" xfId="4" applyNumberFormat="1" applyFont="1" applyFill="1" applyBorder="1" applyAlignment="1">
      <alignment horizontal="center"/>
    </xf>
    <xf numFmtId="0" fontId="25" fillId="8" borderId="33" xfId="4" applyNumberFormat="1" applyFont="1" applyFill="1" applyBorder="1" applyAlignment="1">
      <alignment horizontal="center"/>
    </xf>
    <xf numFmtId="0" fontId="27" fillId="0" borderId="0" xfId="4" applyNumberFormat="1" applyFont="1" applyFill="1" applyAlignment="1">
      <alignment horizontal="center"/>
    </xf>
    <xf numFmtId="0" fontId="27" fillId="0" borderId="0" xfId="4" applyNumberFormat="1" applyFont="1" applyFill="1" applyAlignment="1">
      <alignment horizontal="left"/>
    </xf>
    <xf numFmtId="10" fontId="24" fillId="0" borderId="11" xfId="0" applyNumberFormat="1" applyFont="1" applyBorder="1" applyAlignment="1">
      <alignment horizontal="center" wrapText="1"/>
    </xf>
    <xf numFmtId="164" fontId="21" fillId="0" borderId="11" xfId="0" applyFont="1" applyBorder="1" applyAlignment="1">
      <alignment horizontal="center" wrapText="1"/>
    </xf>
    <xf numFmtId="10" fontId="21" fillId="0" borderId="12" xfId="2" applyNumberFormat="1" applyFont="1" applyBorder="1" applyAlignment="1">
      <alignment horizontal="center" wrapText="1"/>
    </xf>
    <xf numFmtId="0" fontId="18" fillId="0" borderId="0" xfId="4" applyNumberFormat="1" applyFont="1" applyFill="1" applyAlignment="1">
      <alignment horizontal="right"/>
    </xf>
    <xf numFmtId="43" fontId="20" fillId="0" borderId="4" xfId="1" applyNumberFormat="1" applyFont="1" applyFill="1" applyBorder="1" applyAlignment="1"/>
    <xf numFmtId="165" fontId="20" fillId="0" borderId="4" xfId="1" applyNumberFormat="1" applyFont="1" applyFill="1" applyBorder="1" applyAlignment="1"/>
    <xf numFmtId="165" fontId="20" fillId="6" borderId="4" xfId="1" applyNumberFormat="1" applyFont="1" applyFill="1" applyBorder="1" applyAlignment="1"/>
    <xf numFmtId="0" fontId="20" fillId="0" borderId="4" xfId="4" applyNumberFormat="1" applyFont="1" applyFill="1" applyBorder="1" applyAlignment="1"/>
    <xf numFmtId="164" fontId="28" fillId="0" borderId="0" xfId="0" applyFont="1"/>
    <xf numFmtId="5" fontId="16" fillId="0" borderId="0" xfId="0" applyNumberFormat="1" applyFont="1" applyFill="1"/>
    <xf numFmtId="5" fontId="15" fillId="0" borderId="0" xfId="0" applyNumberFormat="1" applyFont="1" applyFill="1" applyAlignment="1">
      <alignment horizontal="center"/>
    </xf>
    <xf numFmtId="10" fontId="0" fillId="0" borderId="0" xfId="0" applyNumberFormat="1" applyFill="1"/>
    <xf numFmtId="7" fontId="0" fillId="0" borderId="0" xfId="0" applyNumberFormat="1" applyFill="1"/>
    <xf numFmtId="10" fontId="0" fillId="0" borderId="0" xfId="2" applyNumberFormat="1" applyFont="1" applyFill="1"/>
    <xf numFmtId="5" fontId="0" fillId="0" borderId="0" xfId="0" applyNumberFormat="1" applyFont="1" applyFill="1"/>
    <xf numFmtId="5" fontId="14" fillId="0" borderId="0" xfId="0" applyNumberFormat="1" applyFont="1" applyFill="1"/>
    <xf numFmtId="5" fontId="15" fillId="0" borderId="0" xfId="0" applyNumberFormat="1" applyFont="1" applyFill="1"/>
    <xf numFmtId="9" fontId="0" fillId="0" borderId="0" xfId="2" applyFont="1" applyFill="1"/>
    <xf numFmtId="164" fontId="14" fillId="9" borderId="0" xfId="0" applyFont="1" applyFill="1"/>
    <xf numFmtId="10" fontId="0" fillId="9" borderId="0" xfId="0" applyNumberFormat="1" applyFill="1"/>
    <xf numFmtId="44" fontId="0" fillId="0" borderId="0" xfId="3" quotePrefix="1" applyFont="1" applyFill="1"/>
    <xf numFmtId="43" fontId="15" fillId="0" borderId="0" xfId="1" applyFont="1" applyAlignment="1">
      <alignment horizontal="center"/>
    </xf>
    <xf numFmtId="0" fontId="27" fillId="3" borderId="26" xfId="4" applyNumberFormat="1" applyFont="1" applyFill="1" applyBorder="1" applyAlignment="1">
      <alignment horizontal="center" wrapText="1"/>
    </xf>
    <xf numFmtId="0" fontId="27" fillId="3" borderId="25" xfId="4" applyNumberFormat="1" applyFont="1" applyFill="1" applyBorder="1" applyAlignment="1">
      <alignment horizontal="center"/>
    </xf>
    <xf numFmtId="0" fontId="27" fillId="3" borderId="24" xfId="4" applyNumberFormat="1" applyFont="1" applyFill="1" applyBorder="1" applyAlignment="1">
      <alignment horizontal="center"/>
    </xf>
    <xf numFmtId="0" fontId="20" fillId="7" borderId="12" xfId="4" applyNumberFormat="1" applyFont="1" applyFill="1" applyBorder="1" applyAlignment="1">
      <alignment horizontal="center"/>
    </xf>
    <xf numFmtId="0" fontId="20" fillId="7" borderId="11" xfId="4" applyNumberFormat="1" applyFont="1" applyFill="1" applyBorder="1" applyAlignment="1">
      <alignment horizontal="center"/>
    </xf>
    <xf numFmtId="0" fontId="20" fillId="7" borderId="10" xfId="4" applyNumberFormat="1" applyFont="1" applyFill="1" applyBorder="1" applyAlignment="1">
      <alignment horizontal="center"/>
    </xf>
    <xf numFmtId="0" fontId="25" fillId="8" borderId="26" xfId="4" applyNumberFormat="1" applyFont="1" applyFill="1" applyBorder="1" applyAlignment="1">
      <alignment horizontal="center"/>
    </xf>
    <xf numFmtId="0" fontId="25" fillId="8" borderId="25" xfId="4" applyNumberFormat="1" applyFont="1" applyFill="1" applyBorder="1" applyAlignment="1">
      <alignment horizontal="center"/>
    </xf>
    <xf numFmtId="0" fontId="25" fillId="8" borderId="24" xfId="4" applyNumberFormat="1" applyFont="1" applyFill="1" applyBorder="1" applyAlignment="1">
      <alignment horizontal="center"/>
    </xf>
    <xf numFmtId="0" fontId="27" fillId="7" borderId="26" xfId="4" applyNumberFormat="1" applyFont="1" applyFill="1" applyBorder="1" applyAlignment="1">
      <alignment horizontal="center"/>
    </xf>
    <xf numFmtId="0" fontId="27" fillId="7" borderId="25" xfId="4" applyNumberFormat="1" applyFont="1" applyFill="1" applyBorder="1" applyAlignment="1">
      <alignment horizontal="center"/>
    </xf>
    <xf numFmtId="0" fontId="27" fillId="7" borderId="24" xfId="4" applyNumberFormat="1" applyFont="1" applyFill="1" applyBorder="1" applyAlignment="1">
      <alignment horizontal="center"/>
    </xf>
  </cellXfs>
  <cellStyles count="10">
    <cellStyle name="Comma" xfId="1" builtinId="3"/>
    <cellStyle name="Comma 2" xfId="8"/>
    <cellStyle name="Comma 3" xfId="7"/>
    <cellStyle name="Currency" xfId="3" builtinId="4"/>
    <cellStyle name="Currency 3" xfId="6"/>
    <cellStyle name="Normal" xfId="0" builtinId="0"/>
    <cellStyle name="Normal 4" xfId="4"/>
    <cellStyle name="Percent" xfId="2" builtinId="5"/>
    <cellStyle name="Percent 2" xfId="9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uman_Resources-VP_Finance\1%20Jay%20Kenton%20Documents\FY19%20Budget%20Proforma%20-%20Initi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 HIST Chart"/>
      <sheetName val="Tuition Comp"/>
      <sheetName val="Enrollment Graphs"/>
      <sheetName val="Graphs (2)"/>
      <sheetName val="11-13 Appropriations Detail"/>
      <sheetName val="Charts"/>
      <sheetName val="Summary"/>
      <sheetName val="Fund Balance Proj"/>
      <sheetName val="10-yr Projection"/>
      <sheetName val="10-yr Parameters"/>
      <sheetName val="FY19 Initial Budget"/>
      <sheetName val="Executive Dashboard"/>
      <sheetName val="Tuition Analysis (2)"/>
      <sheetName val="Tuition Analysis Trend"/>
      <sheetName val="Tuition Revenue Projection"/>
      <sheetName val="FY17 Initial Budget"/>
      <sheetName val="FY17 Initial Budget (2)"/>
      <sheetName val="FY18 Initial Budget"/>
      <sheetName val="FY19 New Budget Requests"/>
      <sheetName val="President's Summary"/>
      <sheetName val="FY17 New Budget Requests"/>
      <sheetName val="Change Log"/>
      <sheetName val="FY16 Initial Budget"/>
      <sheetName val="Cash Flow Detail (2)"/>
      <sheetName val="FY16 New Budget Requests"/>
      <sheetName val="Cash Flow Detail"/>
      <sheetName val="2016-2017 Fee Remissons"/>
      <sheetName val="FY16-17"/>
      <sheetName val="FY17-18 Fee Remissions"/>
      <sheetName val="TRUCosts"/>
      <sheetName val="TUITION CALC &gt;&gt;&gt;&gt;"/>
      <sheetName val="Undergrad Tuition Rate Analysis"/>
      <sheetName val="FY18 State Funding &amp; USSE Cost"/>
      <sheetName val="FY15 Initial Budget"/>
      <sheetName val="FY14 Initial Budget"/>
      <sheetName val="FY13 Initial Budget"/>
      <sheetName val="FY 14 Draft RAM"/>
      <sheetName val="2013-2014 Fee Remissons"/>
      <sheetName val="11-12 Appropriations Detail"/>
      <sheetName val="11-13 Budget Proforma"/>
      <sheetName val="11-13 Requests "/>
      <sheetName val="FY11 Initial Budget 10-25-2010"/>
      <sheetName val="FY12 Initial Budget"/>
      <sheetName val="RAM Summary"/>
      <sheetName val="2017-2018 Matriculation Fee"/>
      <sheetName val="2014-2015 Matriculation Fee"/>
      <sheetName val="Matric Fee by Class Level &amp; Res"/>
      <sheetName val="President"/>
      <sheetName val="Pres - University Wide"/>
      <sheetName val="VPLegal"/>
      <sheetName val="VPFinance"/>
      <sheetName val="VPFinance - General Institution"/>
      <sheetName val="GF Copier Purchase Prog"/>
      <sheetName val="Provost"/>
      <sheetName val="DEP to Provost FY15"/>
      <sheetName val="Prov Graduate Studies"/>
      <sheetName val="Prov - Library Operations"/>
      <sheetName val="Prov - Enrollment Mgmt."/>
      <sheetName val="LAS"/>
      <sheetName val="COE"/>
      <sheetName val="Prov - CAI"/>
      <sheetName val="TRI"/>
      <sheetName val="Prov - Sponsored Projects"/>
      <sheetName val="VPStudent"/>
      <sheetName val="University Advancement"/>
      <sheetName val="NonGFDesignatedService"/>
      <sheetName val="CAD - Non-General Fund"/>
      <sheetName val="TRI Non-General Fund"/>
      <sheetName val="DEP Non-General Fund"/>
      <sheetName val="BAO Non-General Fund"/>
      <sheetName val="UCS Non-General Fund"/>
      <sheetName val="VPF Bookstore Non-General Fund"/>
      <sheetName val="Housing"/>
      <sheetName val="Dining"/>
      <sheetName val="NonGFSum"/>
      <sheetName val="FY16 NonGFSum"/>
      <sheetName val="SHC"/>
      <sheetName val="NonGFAuxEnt"/>
      <sheetName val="Athletics Budget"/>
      <sheetName val="Athletics GF Salaries"/>
      <sheetName val="FY17 Athletics Scholarships"/>
      <sheetName val="FY16 Athletics Scholarships"/>
      <sheetName val="Position Vacancies"/>
      <sheetName val="Position Vacancies (2)"/>
      <sheetName val="Tenure-TT FY19 Budget"/>
      <sheetName val="NTT FY16"/>
      <sheetName val="CUPA Salaries"/>
      <sheetName val="SEIU-Classified FY19 Budget"/>
      <sheetName val="Unclassified FY18 Budget"/>
      <sheetName val="Classified FY17 Budget"/>
      <sheetName val="SEIU - Classified Roster"/>
      <sheetName val="SR 2018"/>
      <sheetName val="FY19 OPE Calc"/>
      <sheetName val="FY13 Faculty Earnings"/>
      <sheetName val="FY14 Faculty Earnings"/>
      <sheetName val="Classified Merits"/>
      <sheetName val="Employee Insurance (PIVOT)"/>
      <sheetName val="Employee Insurance (DATA)"/>
      <sheetName val="Employee Insurance (% Calc)"/>
      <sheetName val="OPErates"/>
      <sheetName val="Merit Calendar"/>
      <sheetName val="AFT - CBA Article 22 "/>
      <sheetName val="2011-2012 Matriculation Fee"/>
      <sheetName val="2011-2012 Fee Remissions"/>
      <sheetName val="2010-11 Fee Remissions"/>
      <sheetName val="FY12 Payroll"/>
      <sheetName val="FY11 &amp; 12 Faculty Salary"/>
      <sheetName val="Yang Comp Package"/>
      <sheetName val="DO NOT DELETE &gt;&gt;&gt;&gt;&gt;"/>
      <sheetName val="JV"/>
      <sheetName val="Export"/>
      <sheetName val="INITAL EXPORT (DNT)"/>
      <sheetName val="Data"/>
      <sheetName val="Initial Data (DNT)"/>
      <sheetName val="Difference Calc"/>
      <sheetName val="Matric_fee(1)"/>
      <sheetName val="International Student Lookup"/>
      <sheetName val="Res UG Tuition"/>
      <sheetName val="Grad Tuition"/>
      <sheetName val="WUE"/>
      <sheetName val="NR UG Tuit"/>
      <sheetName val="Cont. Ed"/>
      <sheetName val="Necessary Documentation &gt;&gt;&gt;&gt;&gt;"/>
      <sheetName val="Univ,Plan,Vendor,OUSReallocated"/>
      <sheetName val="Unclassified - Roster"/>
      <sheetName val="Tenure-TT FY16 Budget"/>
      <sheetName val="SNAPSHOTS &gt;&gt;&gt;&gt;&gt;"/>
      <sheetName val="GF Compare Summary"/>
      <sheetName val="NonGF Compar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5">
          <cell r="D85">
            <v>0</v>
          </cell>
        </row>
        <row r="86">
          <cell r="D86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8">
          <cell r="D98">
            <v>0.03</v>
          </cell>
        </row>
        <row r="99">
          <cell r="D99">
            <v>0.03</v>
          </cell>
        </row>
        <row r="103">
          <cell r="D103">
            <v>0.03</v>
          </cell>
        </row>
        <row r="104">
          <cell r="D104">
            <v>0.03</v>
          </cell>
        </row>
        <row r="105">
          <cell r="D105">
            <v>0.03</v>
          </cell>
        </row>
        <row r="109">
          <cell r="E109">
            <v>0.1</v>
          </cell>
        </row>
      </sheetData>
      <sheetData sheetId="9" refreshError="1"/>
      <sheetData sheetId="10">
        <row r="394">
          <cell r="J394">
            <v>642731.31000000006</v>
          </cell>
          <cell r="K394">
            <v>1074666.25</v>
          </cell>
        </row>
      </sheetData>
      <sheetData sheetId="11" refreshError="1"/>
      <sheetData sheetId="12">
        <row r="6">
          <cell r="AT6">
            <v>13256749.41684466</v>
          </cell>
        </row>
        <row r="22">
          <cell r="AT22">
            <v>256354.62059238998</v>
          </cell>
        </row>
        <row r="38">
          <cell r="AT38">
            <v>20964233.476899095</v>
          </cell>
        </row>
        <row r="40">
          <cell r="AT40">
            <v>4511417.6193559747</v>
          </cell>
        </row>
        <row r="56">
          <cell r="AT56">
            <v>61170.942129117037</v>
          </cell>
        </row>
        <row r="72">
          <cell r="AT72">
            <v>7240267.7851724764</v>
          </cell>
        </row>
        <row r="77">
          <cell r="AT77">
            <v>5307796.3499999996</v>
          </cell>
        </row>
        <row r="80">
          <cell r="AT80">
            <v>1574438.04</v>
          </cell>
        </row>
        <row r="81">
          <cell r="AT81">
            <v>130042.08</v>
          </cell>
        </row>
        <row r="82">
          <cell r="AT82">
            <v>749802.24</v>
          </cell>
        </row>
        <row r="83">
          <cell r="AT83">
            <v>15620.880000000001</v>
          </cell>
        </row>
        <row r="88">
          <cell r="AT88">
            <v>301500</v>
          </cell>
        </row>
        <row r="102">
          <cell r="AT102">
            <v>6891092.4415499996</v>
          </cell>
        </row>
      </sheetData>
      <sheetData sheetId="13">
        <row r="7">
          <cell r="O7">
            <v>1840.6399967849854</v>
          </cell>
          <cell r="Q7">
            <v>1884.3514697521664</v>
          </cell>
        </row>
        <row r="14">
          <cell r="O14">
            <v>7.1023190361402158</v>
          </cell>
        </row>
        <row r="15">
          <cell r="O15">
            <v>201.44531328699784</v>
          </cell>
          <cell r="Q15">
            <v>4.9851180602769034</v>
          </cell>
        </row>
        <row r="16">
          <cell r="O16">
            <v>222.34621593888659</v>
          </cell>
          <cell r="Q16">
            <v>189.79069122028594</v>
          </cell>
        </row>
        <row r="17">
          <cell r="O17">
            <v>223.52711549339691</v>
          </cell>
          <cell r="Q17">
            <v>164.02775013099426</v>
          </cell>
        </row>
        <row r="18">
          <cell r="O18">
            <v>259.93903945959306</v>
          </cell>
          <cell r="Q18">
            <v>207.51222748045399</v>
          </cell>
        </row>
        <row r="19">
          <cell r="Q19">
            <v>241.31537226848528</v>
          </cell>
        </row>
        <row r="22">
          <cell r="O22">
            <v>416.75143363226312</v>
          </cell>
          <cell r="Q22">
            <v>429.62431192902216</v>
          </cell>
        </row>
        <row r="29">
          <cell r="O29">
            <v>0.77849731520316112</v>
          </cell>
        </row>
        <row r="30">
          <cell r="O30">
            <v>50.265267688996502</v>
          </cell>
          <cell r="Q30">
            <v>0.6987745704259325</v>
          </cell>
        </row>
        <row r="31">
          <cell r="O31">
            <v>35.940198938427947</v>
          </cell>
          <cell r="Q31">
            <v>34.741225392997478</v>
          </cell>
        </row>
        <row r="32">
          <cell r="O32">
            <v>62.706584993627573</v>
          </cell>
          <cell r="Q32">
            <v>46.95181540459199</v>
          </cell>
        </row>
        <row r="33">
          <cell r="O33">
            <v>68.558017431481673</v>
          </cell>
          <cell r="Q33">
            <v>51.795652374238628</v>
          </cell>
        </row>
        <row r="34">
          <cell r="Q34">
            <v>56.628936796811388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>
        <row r="111">
          <cell r="P111">
            <v>-2365.8103062937075</v>
          </cell>
        </row>
        <row r="112">
          <cell r="P112">
            <v>87776.705429379799</v>
          </cell>
        </row>
        <row r="113">
          <cell r="P113">
            <v>3633231.4610999627</v>
          </cell>
        </row>
        <row r="114">
          <cell r="P114">
            <v>4452853.0697441213</v>
          </cell>
        </row>
        <row r="115">
          <cell r="P115">
            <v>3043312.5467729201</v>
          </cell>
        </row>
        <row r="116">
          <cell r="P116">
            <v>3151368.3609799435</v>
          </cell>
        </row>
        <row r="117">
          <cell r="P117">
            <v>6581963.0262799663</v>
          </cell>
        </row>
        <row r="122">
          <cell r="P122">
            <v>498.27809082944788</v>
          </cell>
        </row>
        <row r="123">
          <cell r="P123">
            <v>-417.03709775942923</v>
          </cell>
        </row>
        <row r="124">
          <cell r="P124">
            <v>100209.14013200664</v>
          </cell>
        </row>
        <row r="125">
          <cell r="P125">
            <v>126349.24206221584</v>
          </cell>
        </row>
        <row r="126">
          <cell r="P126">
            <v>57417.884262166401</v>
          </cell>
        </row>
        <row r="127">
          <cell r="P127">
            <v>76882.142988501946</v>
          </cell>
        </row>
        <row r="128">
          <cell r="P128">
            <v>196621.24956203916</v>
          </cell>
        </row>
      </sheetData>
      <sheetData sheetId="118">
        <row r="81">
          <cell r="N81">
            <v>1609354.63</v>
          </cell>
        </row>
        <row r="82">
          <cell r="N82">
            <v>814164.36</v>
          </cell>
        </row>
        <row r="86">
          <cell r="N86">
            <v>203520.23</v>
          </cell>
        </row>
        <row r="87">
          <cell r="N87">
            <v>24281.17</v>
          </cell>
        </row>
      </sheetData>
      <sheetData sheetId="119">
        <row r="112">
          <cell r="N112">
            <v>7754.0792728609058</v>
          </cell>
        </row>
        <row r="113">
          <cell r="N113">
            <v>758470.49275717337</v>
          </cell>
        </row>
        <row r="114">
          <cell r="N114">
            <v>966976.15230280964</v>
          </cell>
        </row>
        <row r="115">
          <cell r="N115">
            <v>871395.6345028478</v>
          </cell>
        </row>
        <row r="116">
          <cell r="N116">
            <v>1185353.0704374216</v>
          </cell>
        </row>
        <row r="117">
          <cell r="N117">
            <v>2244023.960726887</v>
          </cell>
        </row>
        <row r="123">
          <cell r="N123">
            <v>0</v>
          </cell>
        </row>
        <row r="124">
          <cell r="N124">
            <v>21697.857488289548</v>
          </cell>
        </row>
        <row r="125">
          <cell r="N125">
            <v>22258.121856949056</v>
          </cell>
        </row>
        <row r="126">
          <cell r="N126">
            <v>6561.1912288934591</v>
          </cell>
        </row>
        <row r="127">
          <cell r="N127">
            <v>9873.2302517853641</v>
          </cell>
        </row>
        <row r="128">
          <cell r="N128">
            <v>51284.199174082576</v>
          </cell>
        </row>
      </sheetData>
      <sheetData sheetId="120">
        <row r="69">
          <cell r="N69">
            <v>5347083.74</v>
          </cell>
        </row>
        <row r="73">
          <cell r="N73">
            <v>311493.40000000002</v>
          </cell>
        </row>
      </sheetData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8"/>
  <sheetViews>
    <sheetView tabSelected="1" workbookViewId="0">
      <selection activeCell="N21" sqref="N21"/>
    </sheetView>
  </sheetViews>
  <sheetFormatPr defaultRowHeight="12.75" x14ac:dyDescent="0.2"/>
  <cols>
    <col min="1" max="1" width="57.140625" customWidth="1"/>
    <col min="2" max="3" width="15.7109375" style="26" customWidth="1"/>
    <col min="4" max="4" width="7.42578125" style="26" customWidth="1"/>
    <col min="5" max="5" width="15.7109375" style="26" customWidth="1"/>
    <col min="6" max="6" width="15.7109375" style="36" customWidth="1"/>
    <col min="7" max="7" width="15.7109375" style="26" customWidth="1"/>
    <col min="8" max="8" width="15.7109375" style="36" customWidth="1"/>
    <col min="9" max="10" width="15.7109375" style="26" customWidth="1"/>
    <col min="11" max="11" width="15.140625" style="52" customWidth="1"/>
    <col min="12" max="14" width="15" style="52" bestFit="1" customWidth="1"/>
    <col min="15" max="15" width="9.140625" style="52"/>
    <col min="16" max="16" width="10.28515625" style="52" bestFit="1" customWidth="1"/>
  </cols>
  <sheetData>
    <row r="1" spans="1:90" ht="20.25" x14ac:dyDescent="0.3">
      <c r="A1" s="349" t="s">
        <v>93</v>
      </c>
    </row>
    <row r="2" spans="1:90" ht="20.25" x14ac:dyDescent="0.3">
      <c r="A2" s="349" t="s">
        <v>96</v>
      </c>
    </row>
    <row r="3" spans="1:90" x14ac:dyDescent="0.2">
      <c r="A3" s="25"/>
    </row>
    <row r="4" spans="1:90" x14ac:dyDescent="0.2">
      <c r="A4" s="25"/>
    </row>
    <row r="5" spans="1:90" x14ac:dyDescent="0.2">
      <c r="A5" s="28" t="s">
        <v>119</v>
      </c>
      <c r="E5" s="30" t="s">
        <v>120</v>
      </c>
      <c r="F5" s="351"/>
      <c r="G5" s="30" t="s">
        <v>121</v>
      </c>
      <c r="H5" s="351"/>
      <c r="I5" s="30" t="s">
        <v>122</v>
      </c>
    </row>
    <row r="6" spans="1:90" x14ac:dyDescent="0.2">
      <c r="A6" s="25"/>
      <c r="J6" s="36"/>
      <c r="K6" s="51"/>
      <c r="L6" s="51"/>
      <c r="M6" s="51"/>
      <c r="N6" s="51"/>
      <c r="O6" s="51"/>
      <c r="P6" s="5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</row>
    <row r="7" spans="1:90" s="48" customFormat="1" x14ac:dyDescent="0.2">
      <c r="A7" s="46" t="s">
        <v>132</v>
      </c>
      <c r="B7" s="36"/>
      <c r="C7" s="36"/>
      <c r="D7" s="36"/>
      <c r="E7" s="47">
        <v>0.01</v>
      </c>
      <c r="F7" s="352"/>
      <c r="G7" s="47">
        <v>0.03</v>
      </c>
      <c r="H7" s="352"/>
      <c r="I7" s="47">
        <v>0.05</v>
      </c>
      <c r="J7" s="36"/>
      <c r="K7" s="51"/>
      <c r="L7" s="361"/>
      <c r="M7" s="361"/>
      <c r="N7" s="51"/>
      <c r="O7" s="51"/>
      <c r="P7" s="51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</row>
    <row r="8" spans="1:90" x14ac:dyDescent="0.2">
      <c r="A8" s="25"/>
      <c r="B8" s="36"/>
      <c r="C8" s="36"/>
      <c r="D8" s="36"/>
      <c r="E8" s="34"/>
      <c r="F8" s="352"/>
      <c r="G8" s="34"/>
      <c r="H8" s="352"/>
      <c r="I8" s="34"/>
      <c r="J8" s="36"/>
      <c r="K8" s="51"/>
      <c r="L8" s="361"/>
      <c r="M8" s="361"/>
      <c r="N8" s="358"/>
      <c r="O8" s="51"/>
      <c r="P8" s="51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</row>
    <row r="9" spans="1:90" s="43" customFormat="1" x14ac:dyDescent="0.2">
      <c r="A9" s="41" t="s">
        <v>133</v>
      </c>
      <c r="B9" s="36"/>
      <c r="C9" s="36"/>
      <c r="D9" s="36"/>
      <c r="E9" s="42">
        <v>0</v>
      </c>
      <c r="F9" s="352"/>
      <c r="G9" s="42">
        <v>0</v>
      </c>
      <c r="H9" s="352"/>
      <c r="I9" s="42">
        <v>0</v>
      </c>
      <c r="J9" s="36"/>
      <c r="K9" s="51"/>
      <c r="L9" s="51"/>
      <c r="M9" s="51"/>
      <c r="N9" s="358"/>
      <c r="O9" s="51"/>
      <c r="P9" s="51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</row>
    <row r="10" spans="1:90" x14ac:dyDescent="0.2">
      <c r="A10" s="25"/>
      <c r="B10" s="36"/>
      <c r="C10" s="36"/>
      <c r="D10" s="36"/>
      <c r="E10" s="34"/>
      <c r="F10" s="352"/>
      <c r="G10" s="34"/>
      <c r="H10" s="352"/>
      <c r="I10" s="34"/>
      <c r="J10" s="36"/>
      <c r="K10" s="51"/>
      <c r="L10" s="51"/>
      <c r="M10" s="51"/>
      <c r="N10" s="358"/>
      <c r="O10" s="51"/>
      <c r="P10" s="51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</row>
    <row r="11" spans="1:90" s="48" customFormat="1" x14ac:dyDescent="0.2">
      <c r="A11" s="46" t="s">
        <v>134</v>
      </c>
      <c r="B11" s="36"/>
      <c r="C11" s="36"/>
      <c r="D11" s="36"/>
      <c r="E11" s="47">
        <v>0.01</v>
      </c>
      <c r="F11" s="352"/>
      <c r="G11" s="47">
        <v>0.03</v>
      </c>
      <c r="H11" s="352"/>
      <c r="I11" s="47">
        <v>0.05</v>
      </c>
      <c r="J11" s="36"/>
      <c r="K11" s="51"/>
      <c r="L11" s="51"/>
      <c r="M11" s="51"/>
      <c r="N11" s="358"/>
      <c r="O11" s="51"/>
      <c r="P11" s="51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</row>
    <row r="12" spans="1:90" x14ac:dyDescent="0.2">
      <c r="A12" s="25"/>
      <c r="B12" s="36"/>
      <c r="C12" s="36"/>
      <c r="D12" s="36"/>
      <c r="E12" s="34"/>
      <c r="F12" s="352"/>
      <c r="G12" s="34"/>
      <c r="H12" s="352"/>
      <c r="I12" s="34"/>
      <c r="J12" s="36"/>
      <c r="K12" s="51"/>
      <c r="L12" s="51"/>
      <c r="M12" s="51"/>
      <c r="N12" s="51"/>
      <c r="O12" s="51"/>
      <c r="P12" s="51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</row>
    <row r="13" spans="1:90" s="43" customFormat="1" x14ac:dyDescent="0.2">
      <c r="A13" s="41" t="s">
        <v>135</v>
      </c>
      <c r="B13" s="36"/>
      <c r="C13" s="36"/>
      <c r="D13" s="36"/>
      <c r="E13" s="42">
        <v>0</v>
      </c>
      <c r="F13" s="352"/>
      <c r="G13" s="42">
        <v>0</v>
      </c>
      <c r="H13" s="352"/>
      <c r="I13" s="42">
        <v>0</v>
      </c>
      <c r="J13" s="36"/>
      <c r="K13" s="51"/>
      <c r="L13" s="51"/>
      <c r="M13" s="51"/>
      <c r="N13" s="51"/>
      <c r="O13" s="51"/>
      <c r="P13" s="51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</row>
    <row r="14" spans="1:90" x14ac:dyDescent="0.2">
      <c r="A14" s="44"/>
      <c r="B14" s="36"/>
      <c r="C14" s="36"/>
      <c r="D14" s="36"/>
      <c r="E14" s="34"/>
      <c r="F14" s="352"/>
      <c r="G14" s="34"/>
      <c r="H14" s="352"/>
      <c r="I14" s="34"/>
      <c r="J14" s="36"/>
      <c r="K14" s="51"/>
      <c r="L14" s="51"/>
      <c r="M14" s="51"/>
      <c r="N14" s="51"/>
      <c r="O14" s="51"/>
      <c r="P14" s="51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</row>
    <row r="15" spans="1:90" s="43" customFormat="1" x14ac:dyDescent="0.2">
      <c r="A15" s="41" t="s">
        <v>126</v>
      </c>
      <c r="B15" s="36"/>
      <c r="C15" s="36"/>
      <c r="D15" s="36"/>
      <c r="E15" s="42">
        <v>0</v>
      </c>
      <c r="F15" s="352"/>
      <c r="G15" s="42">
        <v>0</v>
      </c>
      <c r="H15" s="352"/>
      <c r="I15" s="42">
        <v>0</v>
      </c>
      <c r="J15" s="36"/>
      <c r="K15" s="51"/>
      <c r="L15" s="51"/>
      <c r="M15" s="51"/>
      <c r="N15" s="51"/>
      <c r="O15" s="51"/>
      <c r="P15" s="51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</row>
    <row r="16" spans="1:90" x14ac:dyDescent="0.2">
      <c r="A16" s="25"/>
      <c r="B16" s="36"/>
      <c r="C16" s="36"/>
      <c r="D16" s="36"/>
      <c r="E16" s="34"/>
      <c r="F16" s="352"/>
      <c r="G16" s="34"/>
      <c r="H16" s="352"/>
      <c r="I16" s="34"/>
      <c r="J16" s="36"/>
      <c r="K16" s="51"/>
      <c r="L16" s="51"/>
      <c r="M16" s="51"/>
      <c r="N16" s="51"/>
      <c r="O16" s="51"/>
      <c r="P16" s="51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</row>
    <row r="17" spans="1:90" s="48" customFormat="1" x14ac:dyDescent="0.2">
      <c r="A17" s="46" t="s">
        <v>123</v>
      </c>
      <c r="B17" s="36"/>
      <c r="C17" s="36"/>
      <c r="D17" s="36"/>
      <c r="E17" s="47">
        <v>0.01</v>
      </c>
      <c r="F17" s="352"/>
      <c r="G17" s="47">
        <v>0.03</v>
      </c>
      <c r="H17" s="352"/>
      <c r="I17" s="47">
        <v>0.05</v>
      </c>
      <c r="J17" s="36"/>
      <c r="K17" s="51"/>
      <c r="L17" s="51"/>
      <c r="M17" s="51"/>
      <c r="N17" s="51"/>
      <c r="O17" s="51"/>
      <c r="P17" s="51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</row>
    <row r="18" spans="1:90" x14ac:dyDescent="0.2">
      <c r="A18" s="25"/>
      <c r="B18" s="36"/>
      <c r="C18" s="36"/>
      <c r="D18" s="36"/>
      <c r="E18" s="34"/>
      <c r="F18" s="352"/>
      <c r="G18" s="34"/>
      <c r="H18" s="352"/>
      <c r="I18" s="34"/>
      <c r="J18" s="36"/>
      <c r="K18" s="51"/>
      <c r="L18" s="51"/>
      <c r="M18" s="51"/>
      <c r="N18" s="51"/>
      <c r="O18" s="51"/>
      <c r="P18" s="51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</row>
    <row r="19" spans="1:90" s="43" customFormat="1" x14ac:dyDescent="0.2">
      <c r="A19" s="41" t="s">
        <v>127</v>
      </c>
      <c r="B19" s="36"/>
      <c r="C19" s="36"/>
      <c r="D19" s="36"/>
      <c r="E19" s="42">
        <v>0</v>
      </c>
      <c r="F19" s="352"/>
      <c r="G19" s="42">
        <v>0</v>
      </c>
      <c r="H19" s="352"/>
      <c r="I19" s="42">
        <v>0</v>
      </c>
      <c r="J19" s="36"/>
      <c r="K19" s="51"/>
      <c r="L19" s="51"/>
      <c r="M19" s="51"/>
      <c r="N19" s="51"/>
      <c r="O19" s="51"/>
      <c r="P19" s="51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</row>
    <row r="20" spans="1:90" x14ac:dyDescent="0.2">
      <c r="A20" s="25"/>
      <c r="B20" s="36"/>
      <c r="C20" s="36"/>
      <c r="D20" s="36"/>
      <c r="E20" s="34"/>
      <c r="F20" s="352"/>
      <c r="G20" s="34"/>
      <c r="H20" s="352"/>
      <c r="I20" s="34"/>
      <c r="J20" s="36"/>
      <c r="K20" s="51"/>
      <c r="L20" s="51"/>
      <c r="M20" s="51"/>
      <c r="N20" s="51"/>
      <c r="O20" s="51"/>
      <c r="P20" s="51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</row>
    <row r="21" spans="1:90" s="48" customFormat="1" x14ac:dyDescent="0.2">
      <c r="A21" s="46" t="s">
        <v>124</v>
      </c>
      <c r="B21" s="36"/>
      <c r="C21" s="36"/>
      <c r="D21" s="36"/>
      <c r="E21" s="47">
        <v>0.01</v>
      </c>
      <c r="F21" s="352"/>
      <c r="G21" s="47">
        <v>0.03</v>
      </c>
      <c r="H21" s="352"/>
      <c r="I21" s="47">
        <v>0.05</v>
      </c>
      <c r="J21" s="36"/>
      <c r="K21" s="51"/>
      <c r="L21" s="51"/>
      <c r="M21" s="51"/>
      <c r="N21" s="51"/>
      <c r="O21" s="51"/>
      <c r="P21" s="51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</row>
    <row r="22" spans="1:90" x14ac:dyDescent="0.2">
      <c r="A22" s="25"/>
      <c r="B22" s="36"/>
      <c r="C22" s="36"/>
      <c r="D22" s="36"/>
      <c r="E22" s="34"/>
      <c r="F22" s="352"/>
      <c r="G22" s="34"/>
      <c r="H22" s="352"/>
      <c r="I22" s="34"/>
      <c r="J22" s="36"/>
      <c r="K22" s="51"/>
      <c r="L22" s="51"/>
      <c r="M22" s="51"/>
      <c r="N22" s="51"/>
      <c r="O22" s="51"/>
      <c r="P22" s="51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</row>
    <row r="23" spans="1:90" s="43" customFormat="1" x14ac:dyDescent="0.2">
      <c r="A23" s="41" t="s">
        <v>128</v>
      </c>
      <c r="B23" s="36"/>
      <c r="C23" s="36"/>
      <c r="D23" s="36"/>
      <c r="E23" s="42">
        <v>0</v>
      </c>
      <c r="F23" s="352"/>
      <c r="G23" s="42">
        <v>0</v>
      </c>
      <c r="H23" s="352"/>
      <c r="I23" s="42">
        <v>0</v>
      </c>
      <c r="J23" s="36"/>
      <c r="K23" s="51"/>
      <c r="L23" s="51"/>
      <c r="M23" s="51"/>
      <c r="N23" s="51"/>
      <c r="O23" s="51"/>
      <c r="P23" s="51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</row>
    <row r="24" spans="1:90" x14ac:dyDescent="0.2">
      <c r="A24" s="25"/>
      <c r="B24" s="36"/>
      <c r="C24" s="36"/>
      <c r="D24" s="36"/>
      <c r="E24" s="34"/>
      <c r="F24" s="352"/>
      <c r="G24" s="34"/>
      <c r="H24" s="352"/>
      <c r="I24" s="34"/>
      <c r="J24" s="36"/>
      <c r="K24" s="51"/>
      <c r="L24" s="51"/>
      <c r="M24" s="51"/>
      <c r="N24" s="51"/>
      <c r="O24" s="51"/>
      <c r="P24" s="51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</row>
    <row r="25" spans="1:90" x14ac:dyDescent="0.2">
      <c r="A25" s="46" t="s">
        <v>129</v>
      </c>
      <c r="B25" s="36"/>
      <c r="C25" s="36"/>
      <c r="D25" s="36"/>
      <c r="E25" s="47">
        <v>0.01</v>
      </c>
      <c r="F25" s="352"/>
      <c r="G25" s="47">
        <v>0.03</v>
      </c>
      <c r="H25" s="352"/>
      <c r="I25" s="47">
        <v>0.05</v>
      </c>
      <c r="J25" s="36"/>
      <c r="K25" s="51"/>
      <c r="L25" s="51"/>
      <c r="M25" s="51"/>
      <c r="N25" s="51"/>
      <c r="O25" s="51"/>
      <c r="P25" s="51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</row>
    <row r="26" spans="1:90" x14ac:dyDescent="0.2">
      <c r="A26" s="25"/>
      <c r="B26" s="36"/>
      <c r="C26" s="36"/>
      <c r="D26" s="36"/>
      <c r="E26" s="34"/>
      <c r="F26" s="352"/>
      <c r="G26" s="34"/>
      <c r="H26" s="352"/>
      <c r="I26" s="34"/>
      <c r="J26" s="36"/>
      <c r="K26" s="51"/>
      <c r="L26" s="51"/>
      <c r="M26" s="51"/>
      <c r="N26" s="51"/>
      <c r="O26" s="51"/>
      <c r="P26" s="51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</row>
    <row r="27" spans="1:90" s="43" customFormat="1" x14ac:dyDescent="0.2">
      <c r="A27" s="41" t="s">
        <v>130</v>
      </c>
      <c r="B27" s="36"/>
      <c r="C27" s="36"/>
      <c r="D27" s="36"/>
      <c r="E27" s="42">
        <v>0</v>
      </c>
      <c r="F27" s="352"/>
      <c r="G27" s="42">
        <v>0</v>
      </c>
      <c r="H27" s="352"/>
      <c r="I27" s="42">
        <v>0</v>
      </c>
      <c r="J27" s="36"/>
      <c r="K27" s="51"/>
      <c r="L27" s="51"/>
      <c r="M27" s="51"/>
      <c r="N27" s="51"/>
      <c r="O27" s="51"/>
      <c r="P27" s="51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</row>
    <row r="28" spans="1:90" x14ac:dyDescent="0.2">
      <c r="A28" s="25"/>
      <c r="B28" s="36"/>
      <c r="C28" s="36"/>
      <c r="D28" s="36"/>
      <c r="E28" s="34"/>
      <c r="F28" s="352"/>
      <c r="G28" s="34"/>
      <c r="H28" s="352"/>
      <c r="I28" s="34"/>
      <c r="J28" s="36"/>
      <c r="K28" s="51"/>
      <c r="L28" s="51"/>
      <c r="M28" s="51"/>
      <c r="N28" s="51"/>
      <c r="O28" s="51"/>
      <c r="P28" s="51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</row>
    <row r="29" spans="1:90" s="48" customFormat="1" x14ac:dyDescent="0.2">
      <c r="A29" s="46" t="s">
        <v>125</v>
      </c>
      <c r="B29" s="36"/>
      <c r="C29" s="36"/>
      <c r="D29" s="36"/>
      <c r="E29" s="47">
        <v>0.01</v>
      </c>
      <c r="F29" s="352"/>
      <c r="G29" s="47">
        <v>0.03</v>
      </c>
      <c r="H29" s="352"/>
      <c r="I29" s="47">
        <v>0.05</v>
      </c>
      <c r="J29" s="36"/>
      <c r="K29" s="51"/>
      <c r="L29" s="51"/>
      <c r="M29" s="51"/>
      <c r="N29" s="51"/>
      <c r="O29" s="51"/>
      <c r="P29" s="5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</row>
    <row r="30" spans="1:90" x14ac:dyDescent="0.2">
      <c r="A30" s="25"/>
      <c r="B30" s="36"/>
      <c r="C30" s="36"/>
      <c r="D30" s="36"/>
      <c r="E30" s="34"/>
      <c r="F30" s="352"/>
      <c r="G30" s="34"/>
      <c r="H30" s="352"/>
      <c r="I30" s="34"/>
      <c r="J30" s="36"/>
      <c r="K30" s="51"/>
      <c r="L30" s="51"/>
      <c r="M30" s="51"/>
      <c r="N30" s="51"/>
      <c r="O30" s="51"/>
      <c r="P30" s="51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</row>
    <row r="31" spans="1:90" s="43" customFormat="1" x14ac:dyDescent="0.2">
      <c r="A31" s="41" t="s">
        <v>131</v>
      </c>
      <c r="B31" s="36"/>
      <c r="C31" s="36"/>
      <c r="D31" s="36"/>
      <c r="E31" s="42">
        <v>0</v>
      </c>
      <c r="F31" s="352"/>
      <c r="G31" s="42">
        <v>0</v>
      </c>
      <c r="H31" s="352"/>
      <c r="I31" s="42">
        <v>0</v>
      </c>
      <c r="J31" s="36"/>
      <c r="K31" s="51"/>
      <c r="L31" s="51"/>
      <c r="M31" s="51"/>
      <c r="N31" s="51"/>
      <c r="O31" s="51"/>
      <c r="P31" s="51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</row>
    <row r="32" spans="1:90" x14ac:dyDescent="0.2">
      <c r="A32" s="25"/>
      <c r="E32" s="34"/>
      <c r="F32" s="352"/>
      <c r="G32" s="34"/>
      <c r="H32" s="352"/>
      <c r="I32" s="34"/>
    </row>
    <row r="33" spans="1:16" x14ac:dyDescent="0.2">
      <c r="A33" s="359" t="s">
        <v>137</v>
      </c>
      <c r="E33" s="360">
        <v>0.114</v>
      </c>
      <c r="F33" s="352"/>
      <c r="G33" s="360">
        <v>0.124</v>
      </c>
      <c r="H33" s="352"/>
      <c r="I33" s="360">
        <v>0.13400000000000001</v>
      </c>
    </row>
    <row r="34" spans="1:16" x14ac:dyDescent="0.2">
      <c r="A34" s="25"/>
    </row>
    <row r="35" spans="1:16" x14ac:dyDescent="0.2">
      <c r="A35" s="25"/>
    </row>
    <row r="36" spans="1:16" x14ac:dyDescent="0.2">
      <c r="A36" s="25"/>
    </row>
    <row r="37" spans="1:16" x14ac:dyDescent="0.2">
      <c r="B37" s="31" t="s">
        <v>102</v>
      </c>
      <c r="F37" s="353"/>
    </row>
    <row r="38" spans="1:16" s="28" customFormat="1" x14ac:dyDescent="0.2">
      <c r="A38" s="28" t="s">
        <v>98</v>
      </c>
      <c r="B38" s="28" t="s">
        <v>101</v>
      </c>
      <c r="C38" s="30" t="s">
        <v>97</v>
      </c>
      <c r="D38" s="30"/>
      <c r="E38" s="30" t="s">
        <v>120</v>
      </c>
      <c r="F38" s="351"/>
      <c r="G38" s="30" t="s">
        <v>121</v>
      </c>
      <c r="H38" s="351"/>
      <c r="I38" s="30" t="s">
        <v>122</v>
      </c>
      <c r="J38" s="29"/>
      <c r="K38" s="53"/>
      <c r="L38" s="53"/>
      <c r="M38" s="53"/>
      <c r="N38" s="53"/>
      <c r="O38" s="53"/>
      <c r="P38" s="53"/>
    </row>
    <row r="39" spans="1:16" s="28" customFormat="1" x14ac:dyDescent="0.2">
      <c r="C39" s="30"/>
      <c r="D39" s="30"/>
      <c r="E39" s="30"/>
      <c r="F39" s="351"/>
      <c r="G39" s="30"/>
      <c r="H39" s="357"/>
      <c r="I39" s="29"/>
      <c r="J39" s="29"/>
      <c r="K39" s="53"/>
      <c r="L39" s="53"/>
      <c r="M39" s="53"/>
      <c r="N39" s="53"/>
      <c r="O39" s="53"/>
      <c r="P39" s="53"/>
    </row>
    <row r="40" spans="1:16" s="28" customFormat="1" x14ac:dyDescent="0.2">
      <c r="A40" s="25" t="s">
        <v>107</v>
      </c>
      <c r="C40" s="362"/>
      <c r="D40" s="30"/>
      <c r="E40" s="30"/>
      <c r="F40" s="351"/>
      <c r="G40" s="30"/>
      <c r="H40" s="357"/>
      <c r="I40" s="29"/>
      <c r="J40" s="29"/>
      <c r="K40" s="53"/>
      <c r="L40" s="53"/>
      <c r="M40" s="53"/>
      <c r="N40" s="53"/>
      <c r="O40" s="53"/>
      <c r="P40" s="53"/>
    </row>
    <row r="41" spans="1:16" x14ac:dyDescent="0.2">
      <c r="H41" s="353"/>
    </row>
    <row r="42" spans="1:16" x14ac:dyDescent="0.2">
      <c r="A42" t="s">
        <v>99</v>
      </c>
      <c r="B42" s="26">
        <f>(2480-5)/15</f>
        <v>165</v>
      </c>
      <c r="C42" s="26">
        <f>'[1]Tuition Analysis (2)'!$AT$6+'[1]Tuition Analysis (2)'!$AT$22</f>
        <v>13513104.03743705</v>
      </c>
      <c r="E42" s="36">
        <f>$C$42*(1+E7)*(1+E9)</f>
        <v>13648235.07781142</v>
      </c>
      <c r="F42" s="36">
        <f>E42-$C$42</f>
        <v>135131.04037437029</v>
      </c>
      <c r="G42" s="36">
        <f>$C$42*(1+G7)*(1+G9)</f>
        <v>13918497.158560162</v>
      </c>
      <c r="H42" s="36">
        <f>G42-$C$42</f>
        <v>405393.12112311274</v>
      </c>
      <c r="I42" s="36">
        <f>$C$42*(1+I7)*(1+I9)</f>
        <v>14188759.239308903</v>
      </c>
      <c r="J42" s="26">
        <f>I42-$C$42</f>
        <v>675655.20187185332</v>
      </c>
    </row>
    <row r="43" spans="1:16" x14ac:dyDescent="0.2">
      <c r="F43" s="354"/>
      <c r="H43" s="358"/>
    </row>
    <row r="44" spans="1:16" x14ac:dyDescent="0.2">
      <c r="A44" t="s">
        <v>100</v>
      </c>
      <c r="B44" s="26">
        <f>(2900-2)/15</f>
        <v>193.2</v>
      </c>
      <c r="C44" s="32">
        <f>C45-C42</f>
        <v>7451129.4394620452</v>
      </c>
      <c r="E44" s="32">
        <f>($C$44*0.25)*(1+E11)*(1+E13)+($C$44*0.75)</f>
        <v>7469757.2630607011</v>
      </c>
      <c r="F44" s="36">
        <f>E44-C44</f>
        <v>18627.823598655872</v>
      </c>
      <c r="G44" s="32">
        <f>($C$44*0.25)*(1+G11)*(1+G13)+($C$44*0.75)</f>
        <v>7507012.910258011</v>
      </c>
      <c r="H44" s="36">
        <f>G44-C44</f>
        <v>55883.470795965753</v>
      </c>
      <c r="I44" s="32">
        <f>($C$44*0.25)*(1+I11)*(1+I13)+($C$44*0.75)</f>
        <v>7544268.5574553218</v>
      </c>
      <c r="J44" s="26">
        <f>I44-C44</f>
        <v>93139.117993276566</v>
      </c>
    </row>
    <row r="45" spans="1:16" x14ac:dyDescent="0.2">
      <c r="A45" s="35" t="s">
        <v>103</v>
      </c>
      <c r="C45" s="33">
        <f>'[1]Tuition Analysis (2)'!$AT$38</f>
        <v>20964233.476899095</v>
      </c>
      <c r="E45" s="26">
        <f>SUM(E42:E44)</f>
        <v>21117992.34087212</v>
      </c>
      <c r="F45" s="354"/>
      <c r="G45" s="26">
        <f>SUM(G42:G44)</f>
        <v>21425510.068818174</v>
      </c>
      <c r="I45" s="26">
        <f>SUM(I42:I44)</f>
        <v>21733027.796764225</v>
      </c>
    </row>
    <row r="46" spans="1:16" x14ac:dyDescent="0.2">
      <c r="E46" s="39"/>
    </row>
    <row r="47" spans="1:16" x14ac:dyDescent="0.2">
      <c r="A47" t="s">
        <v>104</v>
      </c>
      <c r="B47" s="26">
        <f>B42*1.5</f>
        <v>247.5</v>
      </c>
      <c r="C47" s="26">
        <f>'[1]Tuition Analysis (2)'!$AT$40+'[1]Tuition Analysis (2)'!$AT$56</f>
        <v>4572588.5614850922</v>
      </c>
      <c r="D47" s="39"/>
      <c r="E47" s="26">
        <f>$C$47*(1+E7)*(1+E15)</f>
        <v>4618314.4470999427</v>
      </c>
      <c r="F47" s="36">
        <f>E47-C47</f>
        <v>45725.885614850558</v>
      </c>
      <c r="G47" s="26">
        <f>$C$47*(1+G7)*(1+G15)</f>
        <v>4709766.2183296448</v>
      </c>
      <c r="H47" s="36">
        <f t="shared" ref="H47:H72" si="0">G47-C47</f>
        <v>137177.65684455261</v>
      </c>
      <c r="I47" s="26">
        <f>$C$47*(1+I7)*(1+I15)</f>
        <v>4801217.9895593468</v>
      </c>
      <c r="J47" s="26">
        <f t="shared" ref="J47:J72" si="1">I47-C47</f>
        <v>228629.42807425465</v>
      </c>
    </row>
    <row r="48" spans="1:16" x14ac:dyDescent="0.2">
      <c r="F48" s="354"/>
    </row>
    <row r="49" spans="1:16" x14ac:dyDescent="0.2">
      <c r="A49" t="s">
        <v>105</v>
      </c>
      <c r="B49" s="26">
        <f>B44*1.5</f>
        <v>289.79999999999995</v>
      </c>
      <c r="C49" s="32">
        <f>C50-C47</f>
        <v>2667679.2236873843</v>
      </c>
      <c r="E49" s="32">
        <f>($C$49*0.25)*(1+E11)*(1+E15)+($C$49*0.75)</f>
        <v>2674348.4217466027</v>
      </c>
      <c r="F49" s="36">
        <f>E49-C49</f>
        <v>6669.19805921847</v>
      </c>
      <c r="G49" s="32">
        <f>($C$49*0.25)*(1+G11)*(1+G15)+($C$49*0.75)</f>
        <v>2687686.8178650397</v>
      </c>
      <c r="H49" s="36">
        <f t="shared" si="0"/>
        <v>20007.59417765541</v>
      </c>
      <c r="I49" s="32">
        <f>($C$49*0.25)*(1+I11)*(1+I15)+($C$49*0.75)</f>
        <v>2701025.2139834766</v>
      </c>
      <c r="J49" s="26">
        <f t="shared" si="1"/>
        <v>33345.99029609235</v>
      </c>
    </row>
    <row r="50" spans="1:16" x14ac:dyDescent="0.2">
      <c r="A50" s="35" t="s">
        <v>106</v>
      </c>
      <c r="C50" s="33">
        <f>'[1]Tuition Analysis (2)'!$AT$72</f>
        <v>7240267.7851724764</v>
      </c>
      <c r="E50" s="36">
        <f>SUM(E47:E49)</f>
        <v>7292662.868846545</v>
      </c>
      <c r="F50" s="354"/>
      <c r="G50" s="36">
        <f>SUM(G47:G49)</f>
        <v>7397453.036194684</v>
      </c>
      <c r="H50" s="353"/>
      <c r="I50" s="36">
        <f>SUM(I47:I49)</f>
        <v>7502243.203542823</v>
      </c>
    </row>
    <row r="51" spans="1:16" x14ac:dyDescent="0.2">
      <c r="C51" s="36"/>
    </row>
    <row r="52" spans="1:16" x14ac:dyDescent="0.2">
      <c r="A52" s="45" t="s">
        <v>110</v>
      </c>
      <c r="B52" s="36">
        <v>531</v>
      </c>
      <c r="C52" s="350">
        <f>'[1]Tuition Analysis (2)'!$AT$77</f>
        <v>5307796.3499999996</v>
      </c>
      <c r="E52" s="32">
        <f>$C$52*(1+E17)*(1+E19)</f>
        <v>5360874.3134999992</v>
      </c>
      <c r="F52" s="350">
        <f>E52-C52</f>
        <v>53077.963499999605</v>
      </c>
      <c r="G52" s="32">
        <f>$C$52*(1+G17)*(1+G19)</f>
        <v>5467030.2404999994</v>
      </c>
      <c r="H52" s="350">
        <f t="shared" si="0"/>
        <v>159233.89049999975</v>
      </c>
      <c r="I52" s="32">
        <f>$C$52*(1+I17)*(1+I19)</f>
        <v>5573186.1674999995</v>
      </c>
      <c r="J52" s="32">
        <f t="shared" si="1"/>
        <v>265389.81749999989</v>
      </c>
    </row>
    <row r="53" spans="1:16" s="25" customFormat="1" x14ac:dyDescent="0.2">
      <c r="A53" s="49" t="s">
        <v>109</v>
      </c>
      <c r="B53" s="27"/>
      <c r="C53" s="50">
        <f>C45+C50+C52</f>
        <v>33512297.612071574</v>
      </c>
      <c r="D53" s="27"/>
      <c r="E53" s="50">
        <f>E45+E50+E52</f>
        <v>33771529.523218669</v>
      </c>
      <c r="F53" s="36">
        <f t="shared" ref="F53:F72" si="2">E53-C53</f>
        <v>259231.91114709526</v>
      </c>
      <c r="G53" s="50">
        <f>G45+G50+G52</f>
        <v>34289993.345512852</v>
      </c>
      <c r="H53" s="355">
        <f>G53-C53</f>
        <v>777695.73344127834</v>
      </c>
      <c r="I53" s="50">
        <f>I45+I50+I52</f>
        <v>34808457.167807043</v>
      </c>
      <c r="J53" s="55">
        <f>I53-C53</f>
        <v>1296159.5557354689</v>
      </c>
      <c r="K53" s="52"/>
      <c r="L53" s="54"/>
      <c r="M53" s="54"/>
      <c r="N53" s="54"/>
      <c r="O53" s="54"/>
      <c r="P53" s="54"/>
    </row>
    <row r="54" spans="1:16" x14ac:dyDescent="0.2">
      <c r="E54" s="56">
        <f>E53/C53</f>
        <v>1.0077354263843048</v>
      </c>
      <c r="F54" s="354"/>
      <c r="J54" s="56"/>
    </row>
    <row r="56" spans="1:16" x14ac:dyDescent="0.2">
      <c r="A56" s="25" t="s">
        <v>108</v>
      </c>
    </row>
    <row r="58" spans="1:16" x14ac:dyDescent="0.2">
      <c r="A58" s="35" t="s">
        <v>111</v>
      </c>
      <c r="B58" s="26">
        <v>399</v>
      </c>
      <c r="C58" s="33">
        <f>'[1]Tuition Analysis (2)'!$AT$80+'[1]Tuition Analysis (2)'!$AT$81</f>
        <v>1704480.12</v>
      </c>
      <c r="E58" s="26">
        <f>$C$58*(1+E21)*(1+E23)</f>
        <v>1721524.9212000002</v>
      </c>
      <c r="F58" s="36">
        <f>E58-C58</f>
        <v>17044.801200000104</v>
      </c>
      <c r="G58" s="26">
        <f>$C$58*(1+G21)*(1+G23)</f>
        <v>1755614.5236000002</v>
      </c>
      <c r="H58" s="36">
        <f t="shared" si="0"/>
        <v>51134.403600000078</v>
      </c>
      <c r="I58" s="26">
        <f>$C$58*(1+I21)*(1+I23)</f>
        <v>1789704.1260000002</v>
      </c>
      <c r="J58" s="26">
        <f t="shared" si="1"/>
        <v>85224.006000000052</v>
      </c>
    </row>
    <row r="60" spans="1:16" x14ac:dyDescent="0.2">
      <c r="A60" s="35" t="s">
        <v>112</v>
      </c>
      <c r="B60" s="26">
        <v>671</v>
      </c>
      <c r="C60" s="37">
        <f>'[1]Tuition Analysis (2)'!$AT$83+'[1]Tuition Analysis (2)'!$AT$82</f>
        <v>765423.12</v>
      </c>
      <c r="E60" s="32">
        <f>$C$60*(1+E25)*(1+E27)</f>
        <v>773077.35120000003</v>
      </c>
      <c r="F60" s="355">
        <f t="shared" si="2"/>
        <v>7654.2312000000384</v>
      </c>
      <c r="G60" s="32">
        <f>$C$60*(1+G25)*(1+G27)</f>
        <v>788385.81359999999</v>
      </c>
      <c r="H60" s="36">
        <f t="shared" si="0"/>
        <v>22962.693599999999</v>
      </c>
      <c r="I60" s="32">
        <f>$C$60*(1+I25)*(1+I27)</f>
        <v>803694.27600000007</v>
      </c>
      <c r="J60" s="26">
        <f t="shared" si="1"/>
        <v>38271.156000000075</v>
      </c>
    </row>
    <row r="61" spans="1:16" s="25" customFormat="1" x14ac:dyDescent="0.2">
      <c r="A61" s="49" t="s">
        <v>113</v>
      </c>
      <c r="B61" s="27"/>
      <c r="C61" s="50">
        <f>C58+C60</f>
        <v>2469903.2400000002</v>
      </c>
      <c r="D61" s="27"/>
      <c r="E61" s="50">
        <f>SUM(E58:E60)</f>
        <v>2494602.2724000001</v>
      </c>
      <c r="F61" s="356"/>
      <c r="G61" s="50">
        <f>SUM(G58:G60)</f>
        <v>2544000.3372</v>
      </c>
      <c r="H61" s="356"/>
      <c r="I61" s="50">
        <f>SUM(I58:I60)</f>
        <v>2593398.4020000002</v>
      </c>
      <c r="J61" s="27"/>
      <c r="K61" s="54"/>
      <c r="L61" s="54"/>
      <c r="M61" s="54"/>
      <c r="N61" s="54"/>
      <c r="O61" s="54"/>
      <c r="P61" s="54"/>
    </row>
    <row r="63" spans="1:16" x14ac:dyDescent="0.2">
      <c r="F63" s="353"/>
    </row>
    <row r="64" spans="1:16" x14ac:dyDescent="0.2">
      <c r="A64" s="35" t="s">
        <v>114</v>
      </c>
      <c r="B64" s="26" t="s">
        <v>136</v>
      </c>
      <c r="C64" s="33">
        <f>'[1]Tuition Analysis (2)'!$AT$102</f>
        <v>6891092.4415499996</v>
      </c>
      <c r="E64" s="26">
        <f>$C$64*(1+E29)*(1+E31)</f>
        <v>6960003.3659654995</v>
      </c>
      <c r="F64" s="36">
        <f t="shared" si="2"/>
        <v>68910.924415499903</v>
      </c>
      <c r="G64" s="26">
        <f>$C$64*(1+(G29+G31))</f>
        <v>7097825.2147964993</v>
      </c>
      <c r="H64" s="36">
        <f t="shared" si="0"/>
        <v>206732.77324649971</v>
      </c>
      <c r="I64" s="26">
        <f>$C$64*(1+(I29+I31))</f>
        <v>7235647.0636275001</v>
      </c>
      <c r="J64" s="26">
        <f t="shared" si="1"/>
        <v>344554.62207750045</v>
      </c>
    </row>
    <row r="66" spans="1:16" x14ac:dyDescent="0.2">
      <c r="A66" s="35" t="s">
        <v>115</v>
      </c>
      <c r="B66" s="26" t="s">
        <v>136</v>
      </c>
      <c r="C66" s="38">
        <f>'[1]Tuition Analysis (2)'!$AT$88</f>
        <v>301500</v>
      </c>
      <c r="E66" s="26">
        <f>$C$66*(1+E7)</f>
        <v>304515</v>
      </c>
      <c r="F66" s="36">
        <f t="shared" si="2"/>
        <v>3015</v>
      </c>
      <c r="G66" s="26">
        <f>$C$66*(1+(G7))</f>
        <v>310545</v>
      </c>
      <c r="H66" s="36">
        <f t="shared" si="0"/>
        <v>9045</v>
      </c>
      <c r="I66" s="26">
        <f>$C$66*(1+(I7))</f>
        <v>316575</v>
      </c>
      <c r="J66" s="26">
        <f t="shared" si="1"/>
        <v>15075</v>
      </c>
    </row>
    <row r="69" spans="1:16" s="25" customFormat="1" x14ac:dyDescent="0.2">
      <c r="A69" s="49" t="s">
        <v>116</v>
      </c>
      <c r="B69" s="27"/>
      <c r="C69" s="50">
        <f>C53+C61+C64+C66</f>
        <v>43174793.293621577</v>
      </c>
      <c r="D69" s="27"/>
      <c r="E69" s="50">
        <f>E53+E61+E64+E66</f>
        <v>43530650.161584169</v>
      </c>
      <c r="F69" s="355">
        <f t="shared" si="2"/>
        <v>355856.86796259135</v>
      </c>
      <c r="G69" s="50">
        <f>G53+G61+G64+G66</f>
        <v>44242363.897509351</v>
      </c>
      <c r="H69" s="355">
        <f t="shared" si="0"/>
        <v>1067570.6038877741</v>
      </c>
      <c r="I69" s="50">
        <f>I53+I61+I64+I66</f>
        <v>44954077.633434549</v>
      </c>
      <c r="J69" s="55">
        <f t="shared" si="1"/>
        <v>1779284.3398129717</v>
      </c>
      <c r="K69" s="54"/>
      <c r="L69" s="54"/>
      <c r="M69" s="54"/>
      <c r="N69" s="54"/>
      <c r="O69" s="54"/>
      <c r="P69" s="54"/>
    </row>
    <row r="70" spans="1:16" x14ac:dyDescent="0.2">
      <c r="F70" s="354"/>
      <c r="H70" s="354"/>
      <c r="J70" s="56"/>
    </row>
    <row r="72" spans="1:16" s="25" customFormat="1" x14ac:dyDescent="0.2">
      <c r="A72" s="49" t="s">
        <v>117</v>
      </c>
      <c r="B72" s="27"/>
      <c r="C72" s="50">
        <v>-4940000</v>
      </c>
      <c r="D72" s="57"/>
      <c r="E72" s="50">
        <f>E69*-E33</f>
        <v>-4962494.1184205953</v>
      </c>
      <c r="F72" s="355">
        <f t="shared" si="2"/>
        <v>-22494.118420595303</v>
      </c>
      <c r="G72" s="50">
        <f>G69*-G33</f>
        <v>-5486053.12329116</v>
      </c>
      <c r="H72" s="355">
        <f t="shared" si="0"/>
        <v>-546053.12329115998</v>
      </c>
      <c r="I72" s="50">
        <f>I69*-I33</f>
        <v>-6023846.40288023</v>
      </c>
      <c r="J72" s="55">
        <f t="shared" si="1"/>
        <v>-1083846.40288023</v>
      </c>
      <c r="K72" s="54"/>
      <c r="L72" s="54"/>
      <c r="M72" s="54"/>
      <c r="N72" s="54"/>
      <c r="O72" s="54"/>
      <c r="P72" s="54"/>
    </row>
    <row r="73" spans="1:16" x14ac:dyDescent="0.2">
      <c r="C73" s="40">
        <f>C72/C69</f>
        <v>-0.11441861380561168</v>
      </c>
      <c r="E73" s="40">
        <f>E72/E69</f>
        <v>-0.114</v>
      </c>
      <c r="G73" s="40">
        <f>G72/G69</f>
        <v>-0.12400000000000001</v>
      </c>
      <c r="I73" s="40">
        <f>I72/I69</f>
        <v>-0.13400000000000001</v>
      </c>
    </row>
    <row r="74" spans="1:16" x14ac:dyDescent="0.2">
      <c r="C74" s="40"/>
      <c r="E74" s="40"/>
      <c r="G74" s="40"/>
      <c r="I74" s="40"/>
    </row>
    <row r="75" spans="1:16" s="25" customFormat="1" x14ac:dyDescent="0.2">
      <c r="A75" s="49" t="s">
        <v>118</v>
      </c>
      <c r="B75" s="27"/>
      <c r="C75" s="50">
        <f>C69+C72</f>
        <v>38234793.293621577</v>
      </c>
      <c r="D75" s="27"/>
      <c r="E75" s="50">
        <f t="shared" ref="E75:I75" si="3">E69+E72</f>
        <v>38568156.043163575</v>
      </c>
      <c r="F75" s="356">
        <f t="shared" si="3"/>
        <v>333362.74954199605</v>
      </c>
      <c r="G75" s="50">
        <f>G69+G72</f>
        <v>38756310.774218194</v>
      </c>
      <c r="H75" s="356">
        <f t="shared" si="3"/>
        <v>521517.48059661407</v>
      </c>
      <c r="I75" s="50">
        <f t="shared" si="3"/>
        <v>38930231.23055432</v>
      </c>
      <c r="J75" s="50">
        <f>J69+J72</f>
        <v>695437.93693274166</v>
      </c>
      <c r="K75" s="54"/>
      <c r="L75" s="54"/>
      <c r="M75" s="54"/>
      <c r="N75" s="54"/>
      <c r="O75" s="54"/>
      <c r="P75" s="54"/>
    </row>
    <row r="78" spans="1:16" x14ac:dyDescent="0.2">
      <c r="E78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9">
    <tabColor rgb="FF00B0F0"/>
    <pageSetUpPr fitToPage="1"/>
  </sheetPr>
  <dimension ref="A1:BJ115"/>
  <sheetViews>
    <sheetView workbookViewId="0">
      <pane xSplit="27" ySplit="5" topLeftCell="AB65" activePane="bottomRight" state="frozenSplit"/>
      <selection pane="topRight" activeCell="AB1" sqref="AB1"/>
      <selection pane="bottomLeft" activeCell="A6" sqref="A6"/>
      <selection pane="bottomRight" activeCell="Y115" sqref="Y115"/>
    </sheetView>
  </sheetViews>
  <sheetFormatPr defaultColWidth="9.140625" defaultRowHeight="15.75" x14ac:dyDescent="0.25"/>
  <cols>
    <col min="1" max="1" width="6.85546875" style="58" customWidth="1"/>
    <col min="2" max="2" width="28" style="58" customWidth="1"/>
    <col min="3" max="3" width="10.7109375" style="58" customWidth="1"/>
    <col min="4" max="4" width="9.85546875" style="58" hidden="1" customWidth="1"/>
    <col min="5" max="5" width="11.5703125" style="58" hidden="1" customWidth="1"/>
    <col min="6" max="6" width="13.42578125" style="58" hidden="1" customWidth="1"/>
    <col min="7" max="7" width="9.85546875" style="58" hidden="1" customWidth="1"/>
    <col min="8" max="8" width="11.5703125" style="58" hidden="1" customWidth="1"/>
    <col min="9" max="9" width="13.42578125" style="58" hidden="1" customWidth="1"/>
    <col min="10" max="10" width="9.85546875" style="58" hidden="1" customWidth="1"/>
    <col min="11" max="11" width="11.5703125" style="58" hidden="1" customWidth="1"/>
    <col min="12" max="12" width="13.5703125" style="58" hidden="1" customWidth="1"/>
    <col min="13" max="13" width="9.85546875" style="58" hidden="1" customWidth="1"/>
    <col min="14" max="14" width="11.5703125" style="58" hidden="1" customWidth="1"/>
    <col min="15" max="15" width="15.7109375" style="66" hidden="1" customWidth="1"/>
    <col min="16" max="16" width="9.85546875" style="58" hidden="1" customWidth="1"/>
    <col min="17" max="17" width="11.7109375" style="58" hidden="1" customWidth="1"/>
    <col min="18" max="18" width="14.140625" style="58" hidden="1" customWidth="1"/>
    <col min="19" max="19" width="9.85546875" style="58" hidden="1" customWidth="1"/>
    <col min="20" max="20" width="11.7109375" style="58" hidden="1" customWidth="1"/>
    <col min="21" max="21" width="16" style="66" hidden="1" customWidth="1"/>
    <col min="22" max="22" width="9.85546875" style="63" hidden="1" customWidth="1"/>
    <col min="23" max="23" width="9.5703125" style="63" hidden="1" customWidth="1"/>
    <col min="24" max="24" width="16.42578125" style="62" hidden="1" customWidth="1"/>
    <col min="25" max="25" width="12.85546875" style="63" customWidth="1"/>
    <col min="26" max="26" width="9.5703125" style="63" customWidth="1"/>
    <col min="27" max="27" width="16" style="62" customWidth="1"/>
    <col min="28" max="28" width="12.85546875" style="63" customWidth="1"/>
    <col min="29" max="29" width="9.5703125" style="63" customWidth="1"/>
    <col min="30" max="30" width="16" style="62" customWidth="1"/>
    <col min="31" max="31" width="9.140625" style="58" customWidth="1"/>
    <col min="32" max="32" width="12.85546875" style="63" customWidth="1"/>
    <col min="33" max="33" width="9.5703125" style="63" customWidth="1"/>
    <col min="34" max="34" width="16" style="62" customWidth="1"/>
    <col min="35" max="35" width="4.5703125" style="58" customWidth="1"/>
    <col min="36" max="36" width="12.85546875" style="63" customWidth="1"/>
    <col min="37" max="37" width="9.5703125" style="63" customWidth="1"/>
    <col min="38" max="38" width="16" style="62" customWidth="1"/>
    <col min="39" max="39" width="11.5703125" style="58" bestFit="1" customWidth="1"/>
    <col min="40" max="40" width="10.5703125" style="58" bestFit="1" customWidth="1"/>
    <col min="41" max="41" width="11.28515625" style="63" bestFit="1" customWidth="1"/>
    <col min="42" max="42" width="3.28515625" style="63" customWidth="1"/>
    <col min="43" max="43" width="8.5703125" style="63" bestFit="1" customWidth="1"/>
    <col min="44" max="44" width="8.5703125" style="62" customWidth="1"/>
    <col min="45" max="45" width="9.42578125" style="62" customWidth="1"/>
    <col min="46" max="46" width="16" style="65" bestFit="1" customWidth="1"/>
    <col min="47" max="47" width="1.42578125" style="58" customWidth="1"/>
    <col min="48" max="48" width="12.7109375" style="64" hidden="1" customWidth="1"/>
    <col min="49" max="49" width="12.42578125" style="58" hidden="1" customWidth="1"/>
    <col min="50" max="50" width="3.7109375" style="58" hidden="1" customWidth="1"/>
    <col min="51" max="51" width="12.5703125" style="60" customWidth="1"/>
    <col min="52" max="52" width="15.7109375" style="59" bestFit="1" customWidth="1"/>
    <col min="53" max="53" width="9.140625" style="58"/>
    <col min="54" max="54" width="11.28515625" style="63" bestFit="1" customWidth="1"/>
    <col min="55" max="55" width="3.28515625" style="63" customWidth="1"/>
    <col min="56" max="56" width="8.85546875" style="63" bestFit="1" customWidth="1"/>
    <col min="57" max="57" width="8.5703125" style="62" customWidth="1"/>
    <col min="58" max="58" width="9.42578125" style="62" customWidth="1"/>
    <col min="59" max="59" width="16" style="61" bestFit="1" customWidth="1"/>
    <col min="60" max="60" width="1.42578125" style="58" customWidth="1"/>
    <col min="61" max="61" width="12.5703125" style="60" customWidth="1"/>
    <col min="62" max="62" width="15.7109375" style="59" bestFit="1" customWidth="1"/>
    <col min="63" max="16384" width="9.140625" style="58"/>
  </cols>
  <sheetData>
    <row r="1" spans="1:62" x14ac:dyDescent="0.25">
      <c r="T1" s="160"/>
    </row>
    <row r="2" spans="1:62" ht="16.5" thickBot="1" x14ac:dyDescent="0.3">
      <c r="H2" s="86">
        <f>(H6-E6)/E6</f>
        <v>9.375E-2</v>
      </c>
      <c r="K2" s="86">
        <f>(K6-H6)/H6</f>
        <v>8.5714285714285715E-2</v>
      </c>
      <c r="N2" s="86">
        <f>(N6-K6)/K6</f>
        <v>5.2631578947368418E-2</v>
      </c>
      <c r="Q2" s="86">
        <f>(Q6-N6)/N6</f>
        <v>4.1666666666666664E-2</v>
      </c>
      <c r="T2" s="86">
        <f>(T6-Q6)/Q6</f>
        <v>0.16</v>
      </c>
      <c r="W2" s="86">
        <f>(W6-T6)/T6</f>
        <v>2.0689655172413793E-2</v>
      </c>
      <c r="Z2" s="86">
        <f>(Z6-W6)/W6</f>
        <v>0</v>
      </c>
      <c r="AC2" s="86">
        <f>(AC6-Z6)/Z6</f>
        <v>2.0270270270270271E-2</v>
      </c>
      <c r="AG2" s="86"/>
      <c r="AK2" s="86">
        <f>(AK6-AC6)/AC6</f>
        <v>2.6490066225165563E-2</v>
      </c>
      <c r="AS2" s="86">
        <f>(AS6-AK6)/AK6</f>
        <v>6.4516129032258063E-2</v>
      </c>
      <c r="BF2" s="86"/>
    </row>
    <row r="3" spans="1:62" ht="16.5" thickBot="1" x14ac:dyDescent="0.3">
      <c r="D3" s="366" t="s">
        <v>194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8"/>
      <c r="AF3" s="348"/>
      <c r="AG3" s="348"/>
      <c r="AH3" s="346"/>
      <c r="AJ3" s="348"/>
      <c r="AK3" s="348"/>
      <c r="AL3" s="346"/>
      <c r="AR3" s="346"/>
      <c r="AS3" s="346"/>
      <c r="AT3" s="347"/>
      <c r="BE3" s="346"/>
      <c r="BF3" s="346"/>
      <c r="BG3" s="345"/>
    </row>
    <row r="4" spans="1:62" ht="30.75" thickBot="1" x14ac:dyDescent="0.3">
      <c r="B4" s="344"/>
      <c r="C4" s="339"/>
      <c r="D4" s="369">
        <v>2008</v>
      </c>
      <c r="E4" s="370"/>
      <c r="F4" s="371"/>
      <c r="G4" s="369">
        <f>+D4+1</f>
        <v>2009</v>
      </c>
      <c r="H4" s="370"/>
      <c r="I4" s="371"/>
      <c r="J4" s="369">
        <f>+G4+1</f>
        <v>2010</v>
      </c>
      <c r="K4" s="370"/>
      <c r="L4" s="371"/>
      <c r="M4" s="369">
        <f>+J4+1</f>
        <v>2011</v>
      </c>
      <c r="N4" s="370"/>
      <c r="O4" s="371"/>
      <c r="P4" s="369">
        <f>+M4+1</f>
        <v>2012</v>
      </c>
      <c r="Q4" s="370"/>
      <c r="R4" s="371"/>
      <c r="S4" s="369">
        <f>+P4+1</f>
        <v>2013</v>
      </c>
      <c r="T4" s="370"/>
      <c r="U4" s="370"/>
      <c r="V4" s="372">
        <f>+S4+1</f>
        <v>2014</v>
      </c>
      <c r="W4" s="373"/>
      <c r="X4" s="374"/>
      <c r="Y4" s="372">
        <v>2015</v>
      </c>
      <c r="Z4" s="373"/>
      <c r="AA4" s="374"/>
      <c r="AB4" s="372">
        <v>2016</v>
      </c>
      <c r="AC4" s="373"/>
      <c r="AD4" s="374"/>
      <c r="AF4" s="363" t="s">
        <v>193</v>
      </c>
      <c r="AG4" s="364"/>
      <c r="AH4" s="365"/>
      <c r="AJ4" s="363" t="s">
        <v>192</v>
      </c>
      <c r="AK4" s="364"/>
      <c r="AL4" s="365"/>
      <c r="AO4" s="343" t="s">
        <v>191</v>
      </c>
      <c r="AP4" s="342"/>
      <c r="AQ4" s="341" t="s">
        <v>188</v>
      </c>
      <c r="AR4" s="363" t="s">
        <v>190</v>
      </c>
      <c r="AS4" s="364"/>
      <c r="AT4" s="365"/>
      <c r="BB4" s="343" t="s">
        <v>189</v>
      </c>
      <c r="BC4" s="342"/>
      <c r="BD4" s="341" t="s">
        <v>188</v>
      </c>
      <c r="BE4" s="363" t="s">
        <v>187</v>
      </c>
      <c r="BF4" s="364"/>
      <c r="BG4" s="365"/>
    </row>
    <row r="5" spans="1:62" s="314" customFormat="1" ht="39.75" thickBot="1" x14ac:dyDescent="0.3">
      <c r="A5" s="340" t="s">
        <v>186</v>
      </c>
      <c r="B5" s="339"/>
      <c r="C5" s="339"/>
      <c r="D5" s="338" t="s">
        <v>181</v>
      </c>
      <c r="E5" s="337" t="s">
        <v>185</v>
      </c>
      <c r="F5" s="336" t="s">
        <v>179</v>
      </c>
      <c r="G5" s="333" t="s">
        <v>181</v>
      </c>
      <c r="H5" s="332" t="s">
        <v>185</v>
      </c>
      <c r="I5" s="334" t="s">
        <v>179</v>
      </c>
      <c r="J5" s="338" t="s">
        <v>181</v>
      </c>
      <c r="K5" s="337" t="s">
        <v>185</v>
      </c>
      <c r="L5" s="336" t="s">
        <v>179</v>
      </c>
      <c r="M5" s="333" t="s">
        <v>181</v>
      </c>
      <c r="N5" s="332" t="s">
        <v>185</v>
      </c>
      <c r="O5" s="335" t="s">
        <v>179</v>
      </c>
      <c r="P5" s="333" t="s">
        <v>181</v>
      </c>
      <c r="Q5" s="332" t="s">
        <v>185</v>
      </c>
      <c r="R5" s="334" t="s">
        <v>179</v>
      </c>
      <c r="S5" s="333" t="s">
        <v>181</v>
      </c>
      <c r="T5" s="332" t="s">
        <v>185</v>
      </c>
      <c r="U5" s="331" t="s">
        <v>179</v>
      </c>
      <c r="V5" s="330" t="s">
        <v>181</v>
      </c>
      <c r="W5" s="329" t="s">
        <v>180</v>
      </c>
      <c r="X5" s="328" t="s">
        <v>179</v>
      </c>
      <c r="Y5" s="330" t="s">
        <v>181</v>
      </c>
      <c r="Z5" s="329" t="s">
        <v>180</v>
      </c>
      <c r="AA5" s="328" t="s">
        <v>179</v>
      </c>
      <c r="AB5" s="330" t="s">
        <v>181</v>
      </c>
      <c r="AC5" s="329" t="s">
        <v>180</v>
      </c>
      <c r="AD5" s="328" t="s">
        <v>179</v>
      </c>
      <c r="AF5" s="327" t="s">
        <v>181</v>
      </c>
      <c r="AG5" s="326" t="s">
        <v>180</v>
      </c>
      <c r="AH5" s="325" t="s">
        <v>179</v>
      </c>
      <c r="AJ5" s="327" t="s">
        <v>181</v>
      </c>
      <c r="AK5" s="326" t="s">
        <v>180</v>
      </c>
      <c r="AL5" s="325" t="s">
        <v>179</v>
      </c>
      <c r="AM5" s="322" t="s">
        <v>184</v>
      </c>
      <c r="AO5" s="321"/>
      <c r="AP5" s="320"/>
      <c r="AQ5" s="320"/>
      <c r="AR5" s="319" t="s">
        <v>181</v>
      </c>
      <c r="AS5" s="318" t="s">
        <v>180</v>
      </c>
      <c r="AT5" s="324" t="s">
        <v>179</v>
      </c>
      <c r="AV5" s="323" t="s">
        <v>183</v>
      </c>
      <c r="AW5" s="322" t="s">
        <v>182</v>
      </c>
      <c r="AY5" s="316" t="s">
        <v>178</v>
      </c>
      <c r="AZ5" s="315" t="s">
        <v>177</v>
      </c>
      <c r="BB5" s="321"/>
      <c r="BC5" s="320"/>
      <c r="BD5" s="320"/>
      <c r="BE5" s="319" t="s">
        <v>181</v>
      </c>
      <c r="BF5" s="318" t="s">
        <v>180</v>
      </c>
      <c r="BG5" s="317" t="s">
        <v>179</v>
      </c>
      <c r="BI5" s="316" t="s">
        <v>178</v>
      </c>
      <c r="BJ5" s="315" t="s">
        <v>177</v>
      </c>
    </row>
    <row r="6" spans="1:62" x14ac:dyDescent="0.25">
      <c r="B6" s="91" t="s">
        <v>176</v>
      </c>
      <c r="D6" s="313">
        <f>ROUND((F6/E6)/45,0)</f>
        <v>1845</v>
      </c>
      <c r="E6" s="312">
        <v>96</v>
      </c>
      <c r="F6" s="311">
        <v>7968486.75</v>
      </c>
      <c r="G6" s="285">
        <f>ROUND((I6/H6)/45,0)</f>
        <v>1043</v>
      </c>
      <c r="H6" s="280">
        <v>105</v>
      </c>
      <c r="I6" s="284">
        <v>4929186.25</v>
      </c>
      <c r="J6" s="313">
        <f>ROUND((L6/K6)/45,0)</f>
        <v>513</v>
      </c>
      <c r="K6" s="312">
        <v>114</v>
      </c>
      <c r="L6" s="311">
        <v>2629963.44</v>
      </c>
      <c r="M6" s="280">
        <f>ROUND((O6/N6)/45,0)</f>
        <v>168</v>
      </c>
      <c r="N6" s="280">
        <v>120</v>
      </c>
      <c r="O6" s="283">
        <v>905449.18</v>
      </c>
      <c r="P6" s="285">
        <f t="shared" ref="P6:P11" si="0">ROUND((R6/Q6)/45,0)</f>
        <v>-2</v>
      </c>
      <c r="Q6" s="280">
        <f>ROUND(N6*(1+Q91),0)</f>
        <v>125</v>
      </c>
      <c r="R6" s="284">
        <v>-10741.36</v>
      </c>
      <c r="S6" s="285">
        <f>ROUND((U6/T6)/45,0)</f>
        <v>535</v>
      </c>
      <c r="T6" s="280">
        <v>145</v>
      </c>
      <c r="U6" s="279">
        <v>3489563.27</v>
      </c>
      <c r="V6" s="115">
        <f>ROUND((X6/W6)/45,0)</f>
        <v>988</v>
      </c>
      <c r="W6" s="114">
        <v>148</v>
      </c>
      <c r="X6" s="123">
        <f>'[1]Res UG Tuition'!P117</f>
        <v>6581963.0262799663</v>
      </c>
      <c r="Y6" s="310">
        <f>ROUND((AA6/Z6)/45,0)</f>
        <v>1217</v>
      </c>
      <c r="Z6" s="309">
        <v>148</v>
      </c>
      <c r="AA6" s="308">
        <v>8107385.2400000002</v>
      </c>
      <c r="AB6" s="310">
        <f>ROUND((AD6/AC6)/45,0)</f>
        <v>1465</v>
      </c>
      <c r="AC6" s="309">
        <v>151</v>
      </c>
      <c r="AD6" s="308">
        <v>9955115.261379458</v>
      </c>
      <c r="AF6" s="122">
        <v>1391</v>
      </c>
      <c r="AG6" s="214">
        <v>155</v>
      </c>
      <c r="AH6" s="121">
        <v>9702225</v>
      </c>
      <c r="AJ6" s="122">
        <f>ROUND((AL6/AK6)/45,0)</f>
        <v>1643</v>
      </c>
      <c r="AK6" s="214">
        <v>155</v>
      </c>
      <c r="AL6" s="121">
        <v>11459081.279999999</v>
      </c>
      <c r="AM6" s="80">
        <f>AL6-AH6</f>
        <v>1756856.2799999993</v>
      </c>
      <c r="AO6" s="254">
        <v>-0.03</v>
      </c>
      <c r="AP6" s="214"/>
      <c r="AQ6" s="118">
        <v>6.5000000000000002E-2</v>
      </c>
      <c r="AR6" s="117">
        <f>'[1]Tuition Analysis Trend'!O7*(1+AO6)</f>
        <v>1785.4207968814358</v>
      </c>
      <c r="AS6" s="74">
        <f>ROUND(AK6*(1+AQ6),0)</f>
        <v>165</v>
      </c>
      <c r="AT6" s="120">
        <f>AR6*AS6*45</f>
        <v>13256749.41684466</v>
      </c>
      <c r="AU6" s="66"/>
      <c r="AV6" s="64">
        <f>AR6-AJ6</f>
        <v>142.42079688143576</v>
      </c>
      <c r="AW6" s="80">
        <f>AT6-AL6</f>
        <v>1797668.1368446611</v>
      </c>
      <c r="AY6" s="60">
        <v>0.1</v>
      </c>
      <c r="AZ6" s="72"/>
      <c r="BB6" s="254">
        <f>'[1]10-yr Projection'!D85</f>
        <v>0</v>
      </c>
      <c r="BC6" s="214"/>
      <c r="BD6" s="118">
        <f>'[1]10-yr Projection'!D98</f>
        <v>0.03</v>
      </c>
      <c r="BE6" s="117">
        <f>'[1]Tuition Analysis Trend'!Q7*(1+BB6)</f>
        <v>1884.3514697521664</v>
      </c>
      <c r="BF6" s="74">
        <f>ROUND(AS6*(1+BD6),0)</f>
        <v>170</v>
      </c>
      <c r="BG6" s="116">
        <f>BE6*BF6*45</f>
        <v>14415288.743604073</v>
      </c>
      <c r="BH6" s="66"/>
      <c r="BJ6" s="72"/>
    </row>
    <row r="7" spans="1:62" ht="15.75" customHeight="1" x14ac:dyDescent="0.25">
      <c r="B7" s="91" t="s">
        <v>173</v>
      </c>
      <c r="C7" s="188">
        <v>2007</v>
      </c>
      <c r="D7" s="285">
        <f>ROUND((F7/E7)/45,0)</f>
        <v>1268</v>
      </c>
      <c r="E7" s="280">
        <v>105</v>
      </c>
      <c r="F7" s="284">
        <v>5989291.2599999998</v>
      </c>
      <c r="G7" s="285">
        <f>ROUND((I7/H7)/45,0)</f>
        <v>1003</v>
      </c>
      <c r="H7" s="280">
        <v>105</v>
      </c>
      <c r="I7" s="284">
        <v>4737722.96</v>
      </c>
      <c r="J7" s="285">
        <f>ROUND((L7/K7)/45,0)</f>
        <v>717</v>
      </c>
      <c r="K7" s="280">
        <v>105</v>
      </c>
      <c r="L7" s="284">
        <v>3388020.71</v>
      </c>
      <c r="M7" s="280">
        <f>ROUND((O7/N7)/45,0)</f>
        <v>422</v>
      </c>
      <c r="N7" s="280">
        <v>105</v>
      </c>
      <c r="O7" s="283">
        <v>1993412.97</v>
      </c>
      <c r="P7" s="285">
        <f t="shared" si="0"/>
        <v>13</v>
      </c>
      <c r="Q7" s="280">
        <v>105</v>
      </c>
      <c r="R7" s="284">
        <v>59907.27</v>
      </c>
      <c r="S7" s="285"/>
      <c r="T7" s="280"/>
      <c r="U7" s="279"/>
      <c r="V7" s="115"/>
      <c r="W7" s="114"/>
      <c r="X7" s="123"/>
      <c r="Y7" s="115"/>
      <c r="Z7" s="114"/>
      <c r="AA7" s="123">
        <v>0</v>
      </c>
      <c r="AB7" s="115"/>
      <c r="AC7" s="114"/>
      <c r="AD7" s="123"/>
      <c r="AF7" s="122"/>
      <c r="AG7" s="214"/>
      <c r="AH7" s="261"/>
      <c r="AJ7" s="122"/>
      <c r="AK7" s="214"/>
      <c r="AL7" s="261"/>
      <c r="AO7" s="122"/>
      <c r="AP7" s="214"/>
      <c r="AQ7" s="214"/>
      <c r="AR7" s="117"/>
      <c r="AS7" s="74"/>
      <c r="AT7" s="260"/>
      <c r="AW7" s="80"/>
      <c r="BB7" s="122"/>
      <c r="BC7" s="214"/>
      <c r="BD7" s="214"/>
      <c r="BE7" s="117"/>
      <c r="BF7" s="74"/>
      <c r="BG7" s="127"/>
    </row>
    <row r="8" spans="1:62" x14ac:dyDescent="0.25">
      <c r="B8" s="91" t="s">
        <v>173</v>
      </c>
      <c r="C8" s="188">
        <v>2008</v>
      </c>
      <c r="D8" s="285"/>
      <c r="E8" s="280"/>
      <c r="F8" s="284"/>
      <c r="G8" s="285">
        <f>ROUND((I8/H8)/45,0)</f>
        <v>1053</v>
      </c>
      <c r="H8" s="280">
        <v>115</v>
      </c>
      <c r="I8" s="284">
        <v>5450422.4500000002</v>
      </c>
      <c r="J8" s="285">
        <f>ROUND((L8/K8)/45,0)</f>
        <v>864</v>
      </c>
      <c r="K8" s="280">
        <v>115</v>
      </c>
      <c r="L8" s="284">
        <v>4471364.17</v>
      </c>
      <c r="M8" s="280">
        <f>ROUND((O8/N8)/45,0)</f>
        <v>635</v>
      </c>
      <c r="N8" s="280">
        <v>115</v>
      </c>
      <c r="O8" s="283">
        <v>3284643.63</v>
      </c>
      <c r="P8" s="285">
        <f t="shared" si="0"/>
        <v>560</v>
      </c>
      <c r="Q8" s="280">
        <f>N8</f>
        <v>115</v>
      </c>
      <c r="R8" s="284">
        <v>2900575.51</v>
      </c>
      <c r="S8" s="285">
        <f>ROUND((U8/T8)/45,0)</f>
        <v>13</v>
      </c>
      <c r="T8" s="280">
        <v>115</v>
      </c>
      <c r="U8" s="279">
        <f>64860+1528.72</f>
        <v>66388.72</v>
      </c>
      <c r="V8" s="115">
        <f t="shared" ref="V8:V13" si="1">ROUND((X8/W8)/45,0)</f>
        <v>0</v>
      </c>
      <c r="W8" s="114">
        <v>115</v>
      </c>
      <c r="X8" s="123">
        <f>'[1]Res UG Tuition'!P111</f>
        <v>-2365.8103062937075</v>
      </c>
      <c r="Y8" s="115"/>
      <c r="Z8" s="114"/>
      <c r="AA8" s="123">
        <v>0</v>
      </c>
      <c r="AB8" s="115"/>
      <c r="AC8" s="114"/>
      <c r="AD8" s="123"/>
      <c r="AF8" s="122"/>
      <c r="AG8" s="214"/>
      <c r="AH8" s="261"/>
      <c r="AJ8" s="122"/>
      <c r="AK8" s="214"/>
      <c r="AL8" s="261">
        <v>0</v>
      </c>
      <c r="AO8" s="122"/>
      <c r="AP8" s="214"/>
      <c r="AQ8" s="214"/>
      <c r="AR8" s="117"/>
      <c r="AS8" s="74"/>
      <c r="AT8" s="260"/>
      <c r="AW8" s="80"/>
      <c r="BB8" s="122"/>
      <c r="BC8" s="214"/>
      <c r="BD8" s="214"/>
      <c r="BE8" s="117"/>
      <c r="BF8" s="74"/>
      <c r="BG8" s="127"/>
    </row>
    <row r="9" spans="1:62" x14ac:dyDescent="0.25">
      <c r="B9" s="91" t="s">
        <v>173</v>
      </c>
      <c r="C9" s="188">
        <v>2009</v>
      </c>
      <c r="D9" s="285"/>
      <c r="E9" s="280"/>
      <c r="F9" s="284"/>
      <c r="G9" s="285"/>
      <c r="H9" s="280"/>
      <c r="I9" s="284"/>
      <c r="J9" s="285">
        <f>ROUND((L9/K9)/45,0)</f>
        <v>1173</v>
      </c>
      <c r="K9" s="280">
        <v>125</v>
      </c>
      <c r="L9" s="284">
        <v>6599110.2800000003</v>
      </c>
      <c r="M9" s="280">
        <f>ROUND((O9/N9)/45,0)</f>
        <v>983</v>
      </c>
      <c r="N9" s="280">
        <v>125</v>
      </c>
      <c r="O9" s="283">
        <v>5526901.21</v>
      </c>
      <c r="P9" s="285">
        <f t="shared" si="0"/>
        <v>728</v>
      </c>
      <c r="Q9" s="280">
        <f>N9</f>
        <v>125</v>
      </c>
      <c r="R9" s="284">
        <v>4093663.62</v>
      </c>
      <c r="S9" s="285">
        <f>ROUND((U9/T9)/45,0)</f>
        <v>603</v>
      </c>
      <c r="T9" s="280">
        <v>125</v>
      </c>
      <c r="U9" s="279">
        <f>3312630+78076.93</f>
        <v>3390706.93</v>
      </c>
      <c r="V9" s="115">
        <f t="shared" si="1"/>
        <v>16</v>
      </c>
      <c r="W9" s="114">
        <v>125</v>
      </c>
      <c r="X9" s="123">
        <f>'[1]Res UG Tuition'!P112</f>
        <v>87776.705429379799</v>
      </c>
      <c r="Y9" s="115">
        <f t="shared" ref="Y9:Y14" si="2">ROUND((AA9/Z9)/45,0)</f>
        <v>0</v>
      </c>
      <c r="Z9" s="114">
        <v>125</v>
      </c>
      <c r="AA9" s="123">
        <v>-899.46</v>
      </c>
      <c r="AB9" s="115">
        <f t="shared" ref="AB9:AB15" si="3">ROUND((AD9/AC9)/45,0)</f>
        <v>0</v>
      </c>
      <c r="AC9" s="114">
        <v>125</v>
      </c>
      <c r="AD9" s="123"/>
      <c r="AF9" s="122">
        <v>0</v>
      </c>
      <c r="AG9" s="214">
        <v>125</v>
      </c>
      <c r="AH9" s="121">
        <v>0</v>
      </c>
      <c r="AJ9" s="122">
        <f t="shared" ref="AJ9:AJ16" si="4">ROUND((AL9/AK9)/45,0)</f>
        <v>0</v>
      </c>
      <c r="AK9" s="214">
        <v>125</v>
      </c>
      <c r="AL9" s="121">
        <v>0</v>
      </c>
      <c r="AM9" s="80">
        <f t="shared" ref="AM9:AM16" si="5">AL9-AH9</f>
        <v>0</v>
      </c>
      <c r="AO9" s="275"/>
      <c r="AP9" s="214"/>
      <c r="AQ9" s="214"/>
      <c r="AR9" s="117"/>
      <c r="AS9" s="74">
        <v>125</v>
      </c>
      <c r="AT9" s="120">
        <f t="shared" ref="AT9:AT17" si="6">AR9*AS9*45</f>
        <v>0</v>
      </c>
      <c r="AV9" s="64">
        <f t="shared" ref="AV9:AV17" si="7">AR9-AJ9</f>
        <v>0</v>
      </c>
      <c r="AW9" s="80">
        <f t="shared" ref="AW9:AW17" si="8">AT9-AL9</f>
        <v>0</v>
      </c>
      <c r="AY9" s="60">
        <v>0.1</v>
      </c>
      <c r="AZ9" s="72"/>
      <c r="BB9" s="275"/>
      <c r="BC9" s="214"/>
      <c r="BD9" s="214"/>
      <c r="BE9" s="117"/>
      <c r="BF9" s="74"/>
      <c r="BG9" s="116"/>
      <c r="BJ9" s="72"/>
    </row>
    <row r="10" spans="1:62" x14ac:dyDescent="0.25">
      <c r="B10" s="91" t="s">
        <v>173</v>
      </c>
      <c r="C10" s="188">
        <v>2010</v>
      </c>
      <c r="D10" s="285"/>
      <c r="E10" s="280"/>
      <c r="F10" s="284"/>
      <c r="G10" s="285"/>
      <c r="H10" s="280"/>
      <c r="I10" s="284"/>
      <c r="J10" s="285"/>
      <c r="K10" s="280"/>
      <c r="L10" s="284"/>
      <c r="M10" s="280">
        <f>ROUND((O10/N10)/45,0)</f>
        <v>1251</v>
      </c>
      <c r="N10" s="280">
        <v>136</v>
      </c>
      <c r="O10" s="283">
        <v>7655322.0099999998</v>
      </c>
      <c r="P10" s="285">
        <f t="shared" si="0"/>
        <v>1010</v>
      </c>
      <c r="Q10" s="280">
        <f>N10</f>
        <v>136</v>
      </c>
      <c r="R10" s="284">
        <v>6182005.9299999997</v>
      </c>
      <c r="S10" s="285">
        <f>ROUND((U10/T10)/45,0)</f>
        <v>678</v>
      </c>
      <c r="T10" s="280">
        <v>136</v>
      </c>
      <c r="U10" s="279">
        <f>4052722+95520.5</f>
        <v>4148242.5</v>
      </c>
      <c r="V10" s="115">
        <f t="shared" si="1"/>
        <v>594</v>
      </c>
      <c r="W10" s="114">
        <v>136</v>
      </c>
      <c r="X10" s="123">
        <f>'[1]Res UG Tuition'!P113</f>
        <v>3633231.4610999627</v>
      </c>
      <c r="Y10" s="115">
        <f t="shared" si="2"/>
        <v>24</v>
      </c>
      <c r="Z10" s="114">
        <v>136</v>
      </c>
      <c r="AA10" s="123">
        <v>147182.28</v>
      </c>
      <c r="AB10" s="115">
        <f t="shared" si="3"/>
        <v>0</v>
      </c>
      <c r="AC10" s="114">
        <v>136</v>
      </c>
      <c r="AD10" s="123">
        <v>-2772.9008507279973</v>
      </c>
      <c r="AF10" s="122">
        <v>0</v>
      </c>
      <c r="AG10" s="214">
        <v>136</v>
      </c>
      <c r="AH10" s="121">
        <v>0</v>
      </c>
      <c r="AJ10" s="122">
        <f t="shared" si="4"/>
        <v>0</v>
      </c>
      <c r="AK10" s="214">
        <v>136</v>
      </c>
      <c r="AL10" s="121">
        <v>833.73</v>
      </c>
      <c r="AM10" s="80">
        <f t="shared" si="5"/>
        <v>833.73</v>
      </c>
      <c r="AO10" s="275"/>
      <c r="AP10" s="214"/>
      <c r="AQ10" s="214"/>
      <c r="AR10" s="117"/>
      <c r="AS10" s="74">
        <v>136</v>
      </c>
      <c r="AT10" s="120">
        <f t="shared" si="6"/>
        <v>0</v>
      </c>
      <c r="AU10" s="66"/>
      <c r="AV10" s="64">
        <f t="shared" si="7"/>
        <v>0</v>
      </c>
      <c r="AW10" s="80">
        <f t="shared" si="8"/>
        <v>-833.73</v>
      </c>
      <c r="AY10" s="60">
        <v>0.1</v>
      </c>
      <c r="AZ10" s="72"/>
      <c r="BB10" s="275"/>
      <c r="BC10" s="214"/>
      <c r="BD10" s="214"/>
      <c r="BE10" s="117"/>
      <c r="BF10" s="74"/>
      <c r="BG10" s="116"/>
      <c r="BH10" s="66"/>
      <c r="BJ10" s="72"/>
    </row>
    <row r="11" spans="1:62" x14ac:dyDescent="0.25">
      <c r="B11" s="91" t="s">
        <v>173</v>
      </c>
      <c r="C11" s="188">
        <v>2011</v>
      </c>
      <c r="D11" s="285"/>
      <c r="E11" s="280"/>
      <c r="F11" s="284"/>
      <c r="G11" s="285"/>
      <c r="H11" s="280"/>
      <c r="I11" s="284"/>
      <c r="J11" s="285"/>
      <c r="K11" s="280"/>
      <c r="L11" s="284"/>
      <c r="M11" s="280"/>
      <c r="N11" s="280"/>
      <c r="O11" s="283"/>
      <c r="P11" s="285">
        <f t="shared" si="0"/>
        <v>1191</v>
      </c>
      <c r="Q11" s="280">
        <v>143</v>
      </c>
      <c r="R11" s="284">
        <v>7666203.8899999997</v>
      </c>
      <c r="S11" s="285">
        <f>ROUND((U11/T11)/45,0)</f>
        <v>950</v>
      </c>
      <c r="T11" s="280">
        <f>Q11</f>
        <v>143</v>
      </c>
      <c r="U11" s="279">
        <f>5974106+140806.5</f>
        <v>6114912.5</v>
      </c>
      <c r="V11" s="115">
        <f t="shared" si="1"/>
        <v>692</v>
      </c>
      <c r="W11" s="114">
        <f>Q11</f>
        <v>143</v>
      </c>
      <c r="X11" s="123">
        <f>'[1]Res UG Tuition'!P114</f>
        <v>4452853.0697441213</v>
      </c>
      <c r="Y11" s="115">
        <f t="shared" si="2"/>
        <v>573</v>
      </c>
      <c r="Z11" s="114">
        <v>143</v>
      </c>
      <c r="AA11" s="123">
        <v>3685115.42</v>
      </c>
      <c r="AB11" s="115">
        <f t="shared" si="3"/>
        <v>7</v>
      </c>
      <c r="AC11" s="114">
        <v>143</v>
      </c>
      <c r="AD11" s="123">
        <v>46906.715819585945</v>
      </c>
      <c r="AF11" s="122">
        <v>0</v>
      </c>
      <c r="AG11" s="214">
        <v>143</v>
      </c>
      <c r="AH11" s="121">
        <v>0</v>
      </c>
      <c r="AJ11" s="122">
        <f t="shared" si="4"/>
        <v>0</v>
      </c>
      <c r="AK11" s="214">
        <v>143</v>
      </c>
      <c r="AL11" s="121">
        <v>0</v>
      </c>
      <c r="AM11" s="80">
        <f t="shared" si="5"/>
        <v>0</v>
      </c>
      <c r="AO11" s="275"/>
      <c r="AP11" s="214"/>
      <c r="AQ11" s="214"/>
      <c r="AR11" s="117">
        <f>'[1]Tuition Analysis Trend'!O12*(1+AO11)</f>
        <v>0</v>
      </c>
      <c r="AS11" s="74">
        <v>143</v>
      </c>
      <c r="AT11" s="120">
        <f t="shared" si="6"/>
        <v>0</v>
      </c>
      <c r="AU11" s="66"/>
      <c r="AV11" s="64">
        <f t="shared" si="7"/>
        <v>0</v>
      </c>
      <c r="AW11" s="80">
        <f t="shared" si="8"/>
        <v>0</v>
      </c>
      <c r="AY11" s="60">
        <v>0.1</v>
      </c>
      <c r="AZ11" s="72"/>
      <c r="BB11" s="275"/>
      <c r="BC11" s="214"/>
      <c r="BD11" s="214"/>
      <c r="BE11" s="117"/>
      <c r="BF11" s="74"/>
      <c r="BG11" s="116"/>
      <c r="BH11" s="66"/>
      <c r="BJ11" s="72"/>
    </row>
    <row r="12" spans="1:62" x14ac:dyDescent="0.25">
      <c r="B12" s="91" t="s">
        <v>173</v>
      </c>
      <c r="C12" s="188">
        <v>2012</v>
      </c>
      <c r="D12" s="285"/>
      <c r="E12" s="280"/>
      <c r="F12" s="284"/>
      <c r="G12" s="285"/>
      <c r="H12" s="280"/>
      <c r="I12" s="284"/>
      <c r="J12" s="285"/>
      <c r="K12" s="280"/>
      <c r="L12" s="284"/>
      <c r="M12" s="280"/>
      <c r="N12" s="280"/>
      <c r="O12" s="283"/>
      <c r="P12" s="285"/>
      <c r="Q12" s="280"/>
      <c r="R12" s="282"/>
      <c r="S12" s="285">
        <f>ROUND((U12/T12)/45,0)</f>
        <v>558</v>
      </c>
      <c r="T12" s="280">
        <v>157</v>
      </c>
      <c r="U12" s="279">
        <f>3854836+90856.44</f>
        <v>3945692.44</v>
      </c>
      <c r="V12" s="115">
        <f t="shared" si="1"/>
        <v>431</v>
      </c>
      <c r="W12" s="114">
        <f>T12</f>
        <v>157</v>
      </c>
      <c r="X12" s="123">
        <f>'[1]Res UG Tuition'!P115</f>
        <v>3043312.5467729201</v>
      </c>
      <c r="Y12" s="115">
        <f t="shared" si="2"/>
        <v>334</v>
      </c>
      <c r="Z12" s="114">
        <v>157</v>
      </c>
      <c r="AA12" s="123">
        <v>2356794.71</v>
      </c>
      <c r="AB12" s="115">
        <f t="shared" si="3"/>
        <v>392</v>
      </c>
      <c r="AC12" s="114">
        <v>157</v>
      </c>
      <c r="AD12" s="123">
        <v>2766675.5359609234</v>
      </c>
      <c r="AF12" s="122">
        <v>7</v>
      </c>
      <c r="AG12" s="214">
        <v>157</v>
      </c>
      <c r="AH12" s="121">
        <v>49455</v>
      </c>
      <c r="AJ12" s="122">
        <f t="shared" si="4"/>
        <v>6</v>
      </c>
      <c r="AK12" s="214">
        <v>157</v>
      </c>
      <c r="AL12" s="121">
        <v>45529.27</v>
      </c>
      <c r="AM12" s="80">
        <f t="shared" si="5"/>
        <v>-3925.7300000000032</v>
      </c>
      <c r="AO12" s="275"/>
      <c r="AP12" s="214"/>
      <c r="AQ12" s="214"/>
      <c r="AR12" s="117">
        <f>'[1]Tuition Analysis Trend'!O13*(1+AO12)</f>
        <v>0</v>
      </c>
      <c r="AS12" s="74">
        <v>157</v>
      </c>
      <c r="AT12" s="120">
        <f t="shared" si="6"/>
        <v>0</v>
      </c>
      <c r="AU12" s="66"/>
      <c r="AV12" s="64">
        <f t="shared" si="7"/>
        <v>-6</v>
      </c>
      <c r="AW12" s="80">
        <f t="shared" si="8"/>
        <v>-45529.27</v>
      </c>
      <c r="AY12" s="60">
        <v>0.1</v>
      </c>
      <c r="AZ12" s="72"/>
      <c r="BB12" s="275"/>
      <c r="BC12" s="214"/>
      <c r="BD12" s="214"/>
      <c r="BE12" s="117"/>
      <c r="BF12" s="74"/>
      <c r="BG12" s="116"/>
      <c r="BH12" s="66"/>
      <c r="BJ12" s="72"/>
    </row>
    <row r="13" spans="1:62" x14ac:dyDescent="0.25">
      <c r="B13" s="91" t="s">
        <v>173</v>
      </c>
      <c r="C13" s="188">
        <v>2013</v>
      </c>
      <c r="D13" s="285"/>
      <c r="E13" s="280"/>
      <c r="F13" s="284"/>
      <c r="G13" s="285"/>
      <c r="H13" s="280"/>
      <c r="I13" s="284"/>
      <c r="J13" s="285"/>
      <c r="K13" s="280"/>
      <c r="L13" s="284"/>
      <c r="M13" s="280"/>
      <c r="N13" s="280"/>
      <c r="O13" s="283"/>
      <c r="P13" s="285"/>
      <c r="Q13" s="280"/>
      <c r="R13" s="282"/>
      <c r="S13" s="285"/>
      <c r="T13" s="280"/>
      <c r="U13" s="279"/>
      <c r="V13" s="115">
        <f t="shared" si="1"/>
        <v>427</v>
      </c>
      <c r="W13" s="114">
        <v>164</v>
      </c>
      <c r="X13" s="123">
        <f>'[1]Res UG Tuition'!P116</f>
        <v>3151368.3609799435</v>
      </c>
      <c r="Y13" s="115">
        <f t="shared" si="2"/>
        <v>328</v>
      </c>
      <c r="Z13" s="114">
        <v>164</v>
      </c>
      <c r="AA13" s="123">
        <v>2421860.7999999998</v>
      </c>
      <c r="AB13" s="115">
        <f t="shared" si="3"/>
        <v>240</v>
      </c>
      <c r="AC13" s="114">
        <v>164</v>
      </c>
      <c r="AD13" s="123">
        <v>1773638.7984393872</v>
      </c>
      <c r="AF13" s="122">
        <v>392</v>
      </c>
      <c r="AG13" s="214">
        <v>164</v>
      </c>
      <c r="AH13" s="121">
        <v>2892960</v>
      </c>
      <c r="AJ13" s="122">
        <f t="shared" si="4"/>
        <v>287</v>
      </c>
      <c r="AK13" s="214">
        <v>164</v>
      </c>
      <c r="AL13" s="121">
        <v>2120208.35</v>
      </c>
      <c r="AM13" s="80">
        <f t="shared" si="5"/>
        <v>-772751.64999999991</v>
      </c>
      <c r="AO13" s="275"/>
      <c r="AP13" s="214"/>
      <c r="AQ13" s="214"/>
      <c r="AR13" s="117">
        <f>'[1]Tuition Analysis Trend'!O14*(1+AO13)</f>
        <v>7.1023190361402158</v>
      </c>
      <c r="AS13" s="74">
        <v>164</v>
      </c>
      <c r="AT13" s="120">
        <f t="shared" si="6"/>
        <v>52415.114486714796</v>
      </c>
      <c r="AU13" s="66"/>
      <c r="AV13" s="64">
        <f t="shared" si="7"/>
        <v>-279.89768096385978</v>
      </c>
      <c r="AW13" s="80">
        <f t="shared" si="8"/>
        <v>-2067793.2355132853</v>
      </c>
      <c r="AY13" s="60">
        <v>0.1</v>
      </c>
      <c r="AZ13" s="72"/>
      <c r="BB13" s="275"/>
      <c r="BC13" s="214"/>
      <c r="BD13" s="214"/>
      <c r="BE13" s="117"/>
      <c r="BF13" s="74"/>
      <c r="BG13" s="116"/>
      <c r="BH13" s="66"/>
      <c r="BJ13" s="72"/>
    </row>
    <row r="14" spans="1:62" x14ac:dyDescent="0.25">
      <c r="B14" s="91" t="s">
        <v>173</v>
      </c>
      <c r="C14" s="188">
        <v>2014</v>
      </c>
      <c r="D14" s="285"/>
      <c r="E14" s="280"/>
      <c r="F14" s="284"/>
      <c r="G14" s="285"/>
      <c r="H14" s="280"/>
      <c r="I14" s="284"/>
      <c r="J14" s="285"/>
      <c r="K14" s="280"/>
      <c r="L14" s="284"/>
      <c r="M14" s="280"/>
      <c r="N14" s="280"/>
      <c r="O14" s="283"/>
      <c r="P14" s="285"/>
      <c r="Q14" s="280"/>
      <c r="R14" s="282"/>
      <c r="S14" s="285"/>
      <c r="T14" s="280"/>
      <c r="U14" s="279"/>
      <c r="V14" s="115"/>
      <c r="W14" s="114"/>
      <c r="X14" s="126"/>
      <c r="Y14" s="115">
        <f t="shared" si="2"/>
        <v>398</v>
      </c>
      <c r="Z14" s="114">
        <v>168</v>
      </c>
      <c r="AA14" s="123">
        <v>3009721.97</v>
      </c>
      <c r="AB14" s="115">
        <f t="shared" si="3"/>
        <v>305</v>
      </c>
      <c r="AC14" s="114">
        <v>168</v>
      </c>
      <c r="AD14" s="123">
        <v>2307532.9250956364</v>
      </c>
      <c r="AF14" s="122">
        <v>240</v>
      </c>
      <c r="AG14" s="214">
        <v>168</v>
      </c>
      <c r="AH14" s="121">
        <v>1814400</v>
      </c>
      <c r="AJ14" s="122">
        <f t="shared" si="4"/>
        <v>236</v>
      </c>
      <c r="AK14" s="214">
        <v>168</v>
      </c>
      <c r="AL14" s="121">
        <v>1780869.66</v>
      </c>
      <c r="AM14" s="80">
        <f t="shared" si="5"/>
        <v>-33530.340000000084</v>
      </c>
      <c r="AO14" s="275"/>
      <c r="AP14" s="214"/>
      <c r="AQ14" s="214"/>
      <c r="AR14" s="117">
        <f>'[1]Tuition Analysis Trend'!O15*(1+AO14)</f>
        <v>201.44531328699784</v>
      </c>
      <c r="AS14" s="74">
        <v>168</v>
      </c>
      <c r="AT14" s="120">
        <f t="shared" si="6"/>
        <v>1522926.5684497037</v>
      </c>
      <c r="AU14" s="66"/>
      <c r="AV14" s="64">
        <f t="shared" si="7"/>
        <v>-34.554686713002155</v>
      </c>
      <c r="AW14" s="80">
        <f t="shared" si="8"/>
        <v>-257943.09155029617</v>
      </c>
      <c r="AY14" s="60">
        <v>0.1</v>
      </c>
      <c r="AZ14" s="72"/>
      <c r="BB14" s="275"/>
      <c r="BC14" s="214"/>
      <c r="BD14" s="214"/>
      <c r="BE14" s="117">
        <f>'[1]Tuition Analysis Trend'!Q15*(1+BB14)</f>
        <v>4.9851180602769034</v>
      </c>
      <c r="BF14" s="74">
        <f>AS14</f>
        <v>168</v>
      </c>
      <c r="BG14" s="116">
        <f>BE14*BF14*45</f>
        <v>37687.492535693389</v>
      </c>
      <c r="BH14" s="66"/>
      <c r="BJ14" s="72"/>
    </row>
    <row r="15" spans="1:62" x14ac:dyDescent="0.25">
      <c r="B15" s="91" t="s">
        <v>173</v>
      </c>
      <c r="C15" s="188">
        <v>2015</v>
      </c>
      <c r="D15" s="285"/>
      <c r="E15" s="280"/>
      <c r="F15" s="284"/>
      <c r="G15" s="285"/>
      <c r="H15" s="280"/>
      <c r="I15" s="284"/>
      <c r="J15" s="285"/>
      <c r="K15" s="280"/>
      <c r="L15" s="284"/>
      <c r="M15" s="280"/>
      <c r="N15" s="280"/>
      <c r="O15" s="283"/>
      <c r="P15" s="285"/>
      <c r="Q15" s="280"/>
      <c r="R15" s="282"/>
      <c r="S15" s="285"/>
      <c r="T15" s="280"/>
      <c r="U15" s="279"/>
      <c r="V15" s="115"/>
      <c r="W15" s="114"/>
      <c r="X15" s="126"/>
      <c r="Y15" s="115"/>
      <c r="Z15" s="114"/>
      <c r="AA15" s="126"/>
      <c r="AB15" s="115">
        <f t="shared" si="3"/>
        <v>368</v>
      </c>
      <c r="AC15" s="114">
        <v>172</v>
      </c>
      <c r="AD15" s="126">
        <v>2849262.2741557374</v>
      </c>
      <c r="AF15" s="122">
        <v>305</v>
      </c>
      <c r="AG15" s="214">
        <v>172</v>
      </c>
      <c r="AH15" s="121">
        <v>2360700</v>
      </c>
      <c r="AJ15" s="122">
        <f t="shared" si="4"/>
        <v>303</v>
      </c>
      <c r="AK15" s="214">
        <v>172</v>
      </c>
      <c r="AL15" s="121">
        <v>2342421.14</v>
      </c>
      <c r="AM15" s="80">
        <f t="shared" si="5"/>
        <v>-18278.85999999987</v>
      </c>
      <c r="AO15" s="275"/>
      <c r="AP15" s="214"/>
      <c r="AQ15" s="118"/>
      <c r="AR15" s="117">
        <f>'[1]Tuition Analysis Trend'!O16*(1+AO15)</f>
        <v>222.34621593888659</v>
      </c>
      <c r="AS15" s="74">
        <v>172</v>
      </c>
      <c r="AT15" s="120">
        <f t="shared" si="6"/>
        <v>1720959.7113669824</v>
      </c>
      <c r="AU15" s="66"/>
      <c r="AV15" s="64">
        <f t="shared" si="7"/>
        <v>-80.653784061113413</v>
      </c>
      <c r="AW15" s="80">
        <f t="shared" si="8"/>
        <v>-621461.4286330177</v>
      </c>
      <c r="AY15" s="60">
        <v>0.1</v>
      </c>
      <c r="AZ15" s="72"/>
      <c r="BB15" s="275"/>
      <c r="BC15" s="214"/>
      <c r="BD15" s="118"/>
      <c r="BE15" s="117">
        <f>'[1]Tuition Analysis Trend'!Q16*(1+BB15)</f>
        <v>189.79069122028594</v>
      </c>
      <c r="BF15" s="74">
        <f>AS15</f>
        <v>172</v>
      </c>
      <c r="BG15" s="116">
        <f>BE15*BF15*45</f>
        <v>1468979.9500450131</v>
      </c>
      <c r="BH15" s="66"/>
      <c r="BJ15" s="72"/>
    </row>
    <row r="16" spans="1:62" x14ac:dyDescent="0.25">
      <c r="B16" s="91" t="s">
        <v>173</v>
      </c>
      <c r="C16" s="188">
        <v>2016</v>
      </c>
      <c r="D16" s="285"/>
      <c r="E16" s="280"/>
      <c r="F16" s="284"/>
      <c r="G16" s="285"/>
      <c r="H16" s="280"/>
      <c r="I16" s="284"/>
      <c r="J16" s="285"/>
      <c r="K16" s="280"/>
      <c r="L16" s="284"/>
      <c r="M16" s="280"/>
      <c r="N16" s="280"/>
      <c r="O16" s="283"/>
      <c r="P16" s="285"/>
      <c r="Q16" s="280"/>
      <c r="R16" s="282"/>
      <c r="S16" s="285"/>
      <c r="T16" s="280"/>
      <c r="U16" s="279"/>
      <c r="V16" s="115"/>
      <c r="W16" s="114"/>
      <c r="X16" s="126"/>
      <c r="Y16" s="115"/>
      <c r="Z16" s="114"/>
      <c r="AA16" s="126"/>
      <c r="AB16" s="115"/>
      <c r="AC16" s="114"/>
      <c r="AD16" s="126"/>
      <c r="AF16" s="122">
        <v>349</v>
      </c>
      <c r="AG16" s="214">
        <v>181</v>
      </c>
      <c r="AH16" s="121">
        <v>2842605</v>
      </c>
      <c r="AJ16" s="122">
        <f t="shared" si="4"/>
        <v>280</v>
      </c>
      <c r="AK16" s="214">
        <v>181</v>
      </c>
      <c r="AL16" s="121">
        <v>2282180</v>
      </c>
      <c r="AM16" s="80">
        <f t="shared" si="5"/>
        <v>-560425</v>
      </c>
      <c r="AO16" s="275"/>
      <c r="AP16" s="214"/>
      <c r="AQ16" s="118"/>
      <c r="AR16" s="117">
        <f>'[1]Tuition Analysis Trend'!O17*(1+AO16)</f>
        <v>223.52711549339691</v>
      </c>
      <c r="AS16" s="74">
        <v>181</v>
      </c>
      <c r="AT16" s="120">
        <f t="shared" si="6"/>
        <v>1820628.3556937177</v>
      </c>
      <c r="AU16" s="66"/>
      <c r="AV16" s="64">
        <f t="shared" si="7"/>
        <v>-56.472884506603094</v>
      </c>
      <c r="AW16" s="80">
        <f t="shared" si="8"/>
        <v>-461551.64430628228</v>
      </c>
      <c r="AY16" s="60">
        <v>0.1</v>
      </c>
      <c r="AZ16" s="72"/>
      <c r="BB16" s="275"/>
      <c r="BC16" s="214"/>
      <c r="BD16" s="118"/>
      <c r="BE16" s="117">
        <f>'[1]Tuition Analysis Trend'!Q17*(1+BB16)</f>
        <v>164.02775013099426</v>
      </c>
      <c r="BF16" s="74">
        <f>AS16</f>
        <v>181</v>
      </c>
      <c r="BG16" s="116">
        <f>BE16*BF16*45</f>
        <v>1336006.0248169485</v>
      </c>
      <c r="BH16" s="66"/>
      <c r="BJ16" s="72"/>
    </row>
    <row r="17" spans="2:62" x14ac:dyDescent="0.25">
      <c r="B17" s="91" t="s">
        <v>173</v>
      </c>
      <c r="C17" s="188">
        <v>2017</v>
      </c>
      <c r="D17" s="285"/>
      <c r="E17" s="280"/>
      <c r="F17" s="284"/>
      <c r="G17" s="285"/>
      <c r="H17" s="280"/>
      <c r="I17" s="284"/>
      <c r="J17" s="285"/>
      <c r="K17" s="280"/>
      <c r="L17" s="284"/>
      <c r="M17" s="280"/>
      <c r="N17" s="280"/>
      <c r="O17" s="283"/>
      <c r="P17" s="285"/>
      <c r="Q17" s="280"/>
      <c r="R17" s="282"/>
      <c r="S17" s="285"/>
      <c r="T17" s="280"/>
      <c r="U17" s="279"/>
      <c r="V17" s="115"/>
      <c r="W17" s="114"/>
      <c r="X17" s="126"/>
      <c r="Y17" s="115"/>
      <c r="Z17" s="114"/>
      <c r="AA17" s="126"/>
      <c r="AB17" s="115"/>
      <c r="AC17" s="114"/>
      <c r="AD17" s="126"/>
      <c r="AF17" s="122"/>
      <c r="AG17" s="307"/>
      <c r="AH17" s="121"/>
      <c r="AJ17" s="122"/>
      <c r="AK17" s="307"/>
      <c r="AL17" s="121"/>
      <c r="AO17" s="254">
        <v>-0.03</v>
      </c>
      <c r="AP17" s="214"/>
      <c r="AQ17" s="118">
        <v>6.5000000000000002E-2</v>
      </c>
      <c r="AR17" s="117">
        <f>'[1]Tuition Analysis Trend'!O18*(1+AO17)</f>
        <v>252.14086827580527</v>
      </c>
      <c r="AS17" s="74">
        <f>ROUND(AK16*(1+AQ17),0)</f>
        <v>193</v>
      </c>
      <c r="AT17" s="120">
        <f t="shared" si="6"/>
        <v>2189843.440975369</v>
      </c>
      <c r="AU17" s="86"/>
      <c r="AV17" s="64">
        <f t="shared" si="7"/>
        <v>252.14086827580527</v>
      </c>
      <c r="AW17" s="80">
        <f t="shared" si="8"/>
        <v>2189843.440975369</v>
      </c>
      <c r="AY17" s="60">
        <v>0.1</v>
      </c>
      <c r="AZ17" s="72"/>
      <c r="BB17" s="275"/>
      <c r="BC17" s="214"/>
      <c r="BD17" s="118"/>
      <c r="BE17" s="117">
        <f>'[1]Tuition Analysis Trend'!Q18*(1+BB17)</f>
        <v>207.51222748045399</v>
      </c>
      <c r="BF17" s="74">
        <f>AS17</f>
        <v>193</v>
      </c>
      <c r="BG17" s="116">
        <f>BE17*BF17*45</f>
        <v>1802243.695667743</v>
      </c>
      <c r="BH17" s="86"/>
      <c r="BJ17" s="72"/>
    </row>
    <row r="18" spans="2:62" x14ac:dyDescent="0.25">
      <c r="B18" s="91"/>
      <c r="C18" s="188"/>
      <c r="D18" s="285"/>
      <c r="E18" s="280"/>
      <c r="F18" s="284"/>
      <c r="G18" s="285"/>
      <c r="H18" s="280"/>
      <c r="I18" s="284"/>
      <c r="J18" s="285"/>
      <c r="K18" s="280"/>
      <c r="L18" s="284"/>
      <c r="M18" s="280"/>
      <c r="N18" s="280"/>
      <c r="O18" s="283"/>
      <c r="P18" s="285"/>
      <c r="Q18" s="280"/>
      <c r="R18" s="282"/>
      <c r="S18" s="285"/>
      <c r="T18" s="280"/>
      <c r="U18" s="279"/>
      <c r="V18" s="115"/>
      <c r="W18" s="114"/>
      <c r="X18" s="126"/>
      <c r="Y18" s="115"/>
      <c r="Z18" s="114"/>
      <c r="AA18" s="126"/>
      <c r="AB18" s="115"/>
      <c r="AC18" s="114"/>
      <c r="AD18" s="126"/>
      <c r="AF18" s="122"/>
      <c r="AG18" s="214"/>
      <c r="AH18" s="261"/>
      <c r="AJ18" s="122"/>
      <c r="AK18" s="214"/>
      <c r="AL18" s="261"/>
      <c r="AO18" s="122"/>
      <c r="AP18" s="214"/>
      <c r="AQ18" s="214"/>
      <c r="AR18" s="117"/>
      <c r="AS18" s="74"/>
      <c r="AT18" s="260"/>
      <c r="AW18" s="80"/>
      <c r="BB18" s="254">
        <f>'[1]10-yr Projection'!D86</f>
        <v>0</v>
      </c>
      <c r="BC18" s="214"/>
      <c r="BD18" s="118">
        <f>'[1]10-yr Projection'!D99</f>
        <v>0.03</v>
      </c>
      <c r="BE18" s="117">
        <f>'[1]Tuition Analysis Trend'!Q19*(1+BB18)</f>
        <v>241.31537226848528</v>
      </c>
      <c r="BF18" s="74">
        <f>ROUND(AS17*(1+BD18),0)</f>
        <v>199</v>
      </c>
      <c r="BG18" s="127">
        <f>BE18*BF18*45</f>
        <v>2160979.1586642857</v>
      </c>
    </row>
    <row r="19" spans="2:62" x14ac:dyDescent="0.25">
      <c r="B19" s="91"/>
      <c r="C19" s="188"/>
      <c r="D19" s="285"/>
      <c r="E19" s="280"/>
      <c r="F19" s="284"/>
      <c r="G19" s="285"/>
      <c r="H19" s="280"/>
      <c r="I19" s="284"/>
      <c r="J19" s="285"/>
      <c r="K19" s="280"/>
      <c r="L19" s="284"/>
      <c r="M19" s="280"/>
      <c r="N19" s="280"/>
      <c r="O19" s="283"/>
      <c r="P19" s="285"/>
      <c r="Q19" s="280"/>
      <c r="R19" s="282"/>
      <c r="S19" s="285"/>
      <c r="T19" s="280"/>
      <c r="U19" s="279"/>
      <c r="V19" s="115"/>
      <c r="W19" s="114"/>
      <c r="X19" s="126"/>
      <c r="Y19" s="115"/>
      <c r="Z19" s="114"/>
      <c r="AA19" s="126"/>
      <c r="AB19" s="115"/>
      <c r="AC19" s="114"/>
      <c r="AD19" s="126"/>
      <c r="AF19" s="122"/>
      <c r="AG19" s="214"/>
      <c r="AH19" s="261"/>
      <c r="AJ19" s="122"/>
      <c r="AK19" s="214"/>
      <c r="AL19" s="261"/>
      <c r="AO19" s="122"/>
      <c r="AP19" s="214"/>
      <c r="AQ19" s="214"/>
      <c r="AR19" s="117"/>
      <c r="AS19" s="74"/>
      <c r="AT19" s="260"/>
      <c r="AW19" s="80"/>
      <c r="BB19" s="122"/>
      <c r="BC19" s="214"/>
      <c r="BD19" s="214"/>
      <c r="BE19" s="117"/>
      <c r="BF19" s="74"/>
      <c r="BG19" s="127"/>
    </row>
    <row r="20" spans="2:62" s="59" customFormat="1" x14ac:dyDescent="0.25">
      <c r="B20" s="274" t="s">
        <v>175</v>
      </c>
      <c r="C20" s="169"/>
      <c r="D20" s="288">
        <f>SUM(D6:D15)</f>
        <v>3113</v>
      </c>
      <c r="E20" s="287">
        <f>ROUND((F20/D20)/45,0)</f>
        <v>100</v>
      </c>
      <c r="F20" s="291">
        <f>SUM(F6:F15)</f>
        <v>13957778.01</v>
      </c>
      <c r="G20" s="288">
        <f>SUM(G6:G15)</f>
        <v>3099</v>
      </c>
      <c r="H20" s="287">
        <f>ROUND((I20/G20)/45,0)</f>
        <v>108</v>
      </c>
      <c r="I20" s="291">
        <f>SUM(I6:I15)</f>
        <v>15117331.66</v>
      </c>
      <c r="J20" s="288">
        <f>SUM(J6:J15)</f>
        <v>3267</v>
      </c>
      <c r="K20" s="287">
        <f>ROUND((L20/J20)/45,0)</f>
        <v>116</v>
      </c>
      <c r="L20" s="291">
        <f>SUM(L6:L15)</f>
        <v>17088458.600000001</v>
      </c>
      <c r="M20" s="288">
        <f>SUM(M6:M15)</f>
        <v>3459</v>
      </c>
      <c r="N20" s="287">
        <f>ROUND((O20/M20)/45,0)</f>
        <v>124</v>
      </c>
      <c r="O20" s="290">
        <f>SUM(O6:O15)</f>
        <v>19365729</v>
      </c>
      <c r="P20" s="288">
        <f>SUM(P6:P15)</f>
        <v>3500</v>
      </c>
      <c r="Q20" s="287">
        <f>ROUND((R20/P20)/45,0)</f>
        <v>133</v>
      </c>
      <c r="R20" s="291">
        <f>SUM(R6:R15)</f>
        <v>20891614.859999999</v>
      </c>
      <c r="S20" s="288">
        <f>SUM(S6:S15)</f>
        <v>3337</v>
      </c>
      <c r="T20" s="287">
        <f>ROUND((U20/S20)/45,0)</f>
        <v>141</v>
      </c>
      <c r="U20" s="286">
        <f>SUM(U6:U15)</f>
        <v>21155506.360000003</v>
      </c>
      <c r="V20" s="184">
        <f>SUM(V6:V15)</f>
        <v>3148</v>
      </c>
      <c r="W20" s="183">
        <f>ROUND((X20/V20)/45,0)</f>
        <v>148</v>
      </c>
      <c r="X20" s="182">
        <f>SUM(X6:X15)</f>
        <v>20948139.359999999</v>
      </c>
      <c r="Y20" s="184">
        <f>SUM(Y6:Y15)</f>
        <v>2874</v>
      </c>
      <c r="Z20" s="183">
        <v>153</v>
      </c>
      <c r="AA20" s="182">
        <f>SUM(AA6:AA15)</f>
        <v>19727160.960000001</v>
      </c>
      <c r="AB20" s="184">
        <f>SUM(AB6:AB15)</f>
        <v>2777</v>
      </c>
      <c r="AC20" s="183">
        <f>ROUND((AD20/AB20)/45,0)</f>
        <v>158</v>
      </c>
      <c r="AD20" s="182">
        <f>SUM(AD6:AD15)</f>
        <v>19696358.609999999</v>
      </c>
      <c r="AE20" s="102"/>
      <c r="AF20" s="181">
        <f>SUM(AF6:AF18)</f>
        <v>2684</v>
      </c>
      <c r="AG20" s="180">
        <f>ROUND((AH20/AF20)/45,0)</f>
        <v>163</v>
      </c>
      <c r="AH20" s="179">
        <f>SUM(AH6:AH16)</f>
        <v>19662345</v>
      </c>
      <c r="AI20" s="102"/>
      <c r="AJ20" s="181">
        <f>SUM(AJ6:AJ16)</f>
        <v>2755</v>
      </c>
      <c r="AK20" s="180">
        <f>ROUND((AL20/AJ20)/45,0)</f>
        <v>162</v>
      </c>
      <c r="AL20" s="179">
        <f>SUM(AL6:AL16)</f>
        <v>20031123.43</v>
      </c>
      <c r="AM20" s="273">
        <f>AL20-AH20</f>
        <v>368778.4299999997</v>
      </c>
      <c r="AN20" s="102"/>
      <c r="AO20" s="272">
        <f>(AR20-AJ20)/AJ20</f>
        <v>-2.2873818906474528E-2</v>
      </c>
      <c r="AP20" s="180"/>
      <c r="AQ20" s="271">
        <f>(AS20-AK20)/AK20</f>
        <v>4.9382716049382713E-2</v>
      </c>
      <c r="AR20" s="177">
        <f>SUM(AR6:AR18)</f>
        <v>2691.9826289126627</v>
      </c>
      <c r="AS20" s="176">
        <f>ROUND((AT20/AR20)/45,0)</f>
        <v>170</v>
      </c>
      <c r="AT20" s="178">
        <f>SUM(AT6:AT18)</f>
        <v>20563522.607817147</v>
      </c>
      <c r="AV20" s="64">
        <f>AR20-AJ20</f>
        <v>-63.017371087337324</v>
      </c>
      <c r="AW20" s="273">
        <f>AT20-AL20</f>
        <v>532399.17781714723</v>
      </c>
      <c r="AY20" s="60">
        <v>0.1</v>
      </c>
      <c r="AZ20" s="72"/>
      <c r="BB20" s="272">
        <f>(BE20-AR20)/AR20</f>
        <v>0</v>
      </c>
      <c r="BC20" s="180"/>
      <c r="BD20" s="271">
        <f>(BF20-AS20)/AS20</f>
        <v>2.9411764705882353E-2</v>
      </c>
      <c r="BE20" s="177">
        <f>SUM(BE6:BE18)</f>
        <v>2691.9826289126627</v>
      </c>
      <c r="BF20" s="176">
        <f>ROUND((BG20/BE20)/45,0)</f>
        <v>175</v>
      </c>
      <c r="BG20" s="175">
        <f>SUM(BG6:BG18)</f>
        <v>21221185.065333758</v>
      </c>
      <c r="BI20" s="60"/>
      <c r="BJ20" s="72"/>
    </row>
    <row r="21" spans="2:62" x14ac:dyDescent="0.25">
      <c r="B21" s="91"/>
      <c r="C21" s="188"/>
      <c r="D21" s="285"/>
      <c r="E21" s="280"/>
      <c r="F21" s="284"/>
      <c r="G21" s="285"/>
      <c r="H21" s="280"/>
      <c r="I21" s="284"/>
      <c r="J21" s="285"/>
      <c r="K21" s="280"/>
      <c r="L21" s="284"/>
      <c r="M21" s="280"/>
      <c r="N21" s="280"/>
      <c r="O21" s="283"/>
      <c r="P21" s="285"/>
      <c r="Q21" s="280"/>
      <c r="R21" s="282"/>
      <c r="S21" s="285"/>
      <c r="T21" s="280"/>
      <c r="U21" s="279"/>
      <c r="V21" s="115"/>
      <c r="W21" s="114"/>
      <c r="X21" s="123"/>
      <c r="Y21" s="115"/>
      <c r="Z21" s="114"/>
      <c r="AA21" s="126"/>
      <c r="AB21" s="115"/>
      <c r="AC21" s="114"/>
      <c r="AD21" s="126"/>
      <c r="AF21" s="122"/>
      <c r="AG21" s="214"/>
      <c r="AH21" s="261"/>
      <c r="AJ21" s="122">
        <f>AJ6/AJ20</f>
        <v>0.59637023593466421</v>
      </c>
      <c r="AK21" s="214"/>
      <c r="AL21" s="261"/>
      <c r="AO21" s="122"/>
      <c r="AP21" s="214"/>
      <c r="AQ21" s="214"/>
      <c r="AR21" s="117"/>
      <c r="AS21" s="74"/>
      <c r="AT21" s="260"/>
      <c r="AW21" s="80"/>
      <c r="BB21" s="122"/>
      <c r="BC21" s="214"/>
      <c r="BD21" s="214"/>
      <c r="BE21" s="117"/>
      <c r="BF21" s="74"/>
      <c r="BG21" s="127"/>
    </row>
    <row r="22" spans="2:62" x14ac:dyDescent="0.25">
      <c r="B22" s="91" t="s">
        <v>174</v>
      </c>
      <c r="D22" s="256">
        <f>ROUND((F22/E22)/45,0)</f>
        <v>84</v>
      </c>
      <c r="E22" s="230">
        <v>96</v>
      </c>
      <c r="F22" s="259">
        <v>363819.81</v>
      </c>
      <c r="G22" s="256">
        <f>ROUND((I22/H22)/45,0)</f>
        <v>41</v>
      </c>
      <c r="H22" s="230">
        <v>99</v>
      </c>
      <c r="I22" s="259">
        <v>181005.12</v>
      </c>
      <c r="J22" s="256">
        <f>ROUND((L22/K22)/45,0)</f>
        <v>12</v>
      </c>
      <c r="K22" s="230">
        <v>109</v>
      </c>
      <c r="L22" s="259">
        <v>58376.97</v>
      </c>
      <c r="M22" s="230">
        <f>ROUND((O22/N22)/45,0)</f>
        <v>5</v>
      </c>
      <c r="N22" s="230">
        <v>114</v>
      </c>
      <c r="O22" s="258">
        <v>23955.22</v>
      </c>
      <c r="P22" s="256">
        <f t="shared" ref="P22:P27" si="9">ROUND((R22/Q22)/45,0)</f>
        <v>-1</v>
      </c>
      <c r="Q22" s="230">
        <v>120</v>
      </c>
      <c r="R22" s="259">
        <v>-3982.94</v>
      </c>
      <c r="S22" s="256">
        <f>ROUND((U22/T22)/45,0)</f>
        <v>17</v>
      </c>
      <c r="T22" s="230">
        <v>145</v>
      </c>
      <c r="U22" s="255">
        <v>113348.5</v>
      </c>
      <c r="V22" s="115">
        <f>ROUND((X22/W22)/45,0)</f>
        <v>30</v>
      </c>
      <c r="W22" s="114">
        <v>148</v>
      </c>
      <c r="X22" s="123">
        <f>'[1]Res UG Tuition'!P128</f>
        <v>196621.24956203916</v>
      </c>
      <c r="Y22" s="306">
        <f>ROUND((AA22/Z22)/15,0)</f>
        <v>103</v>
      </c>
      <c r="Z22" s="114">
        <v>148</v>
      </c>
      <c r="AA22" s="123">
        <v>229719.62</v>
      </c>
      <c r="AB22" s="306">
        <f>ROUND((AD22/AC22)/15,0)</f>
        <v>120</v>
      </c>
      <c r="AC22" s="114">
        <v>151</v>
      </c>
      <c r="AD22" s="123">
        <v>272615.51505260752</v>
      </c>
      <c r="AF22" s="122">
        <v>114</v>
      </c>
      <c r="AG22" s="214">
        <v>155</v>
      </c>
      <c r="AH22" s="121">
        <v>265050</v>
      </c>
      <c r="AJ22" s="122">
        <f>ROUND((AL22/AK22)/15,0)</f>
        <v>111</v>
      </c>
      <c r="AK22" s="214">
        <v>155</v>
      </c>
      <c r="AL22" s="121">
        <v>256981.9</v>
      </c>
      <c r="AM22" s="80">
        <f t="shared" ref="AM22:AM32" si="10">AL22-AH22</f>
        <v>-8068.1000000000058</v>
      </c>
      <c r="AO22" s="254">
        <v>-0.03</v>
      </c>
      <c r="AP22" s="214"/>
      <c r="AQ22" s="118">
        <f>AQ6</f>
        <v>6.5000000000000002E-2</v>
      </c>
      <c r="AR22" s="117">
        <f>($AJ$36*(AR6/$AR$20))*(1+AO22)</f>
        <v>103.57762448177374</v>
      </c>
      <c r="AS22" s="74">
        <f>AS6</f>
        <v>165</v>
      </c>
      <c r="AT22" s="120">
        <f>AS22*AR22*15</f>
        <v>256354.62059238998</v>
      </c>
      <c r="AU22" s="86"/>
      <c r="AV22" s="64">
        <f>AR22-AJ22</f>
        <v>-7.4223755182262607</v>
      </c>
      <c r="AW22" s="80">
        <f>AT22-AL22</f>
        <v>-627.27940761001082</v>
      </c>
      <c r="AY22" s="60">
        <v>0.1</v>
      </c>
      <c r="AZ22" s="72"/>
      <c r="BB22" s="254">
        <f>BB6</f>
        <v>0</v>
      </c>
      <c r="BC22" s="214"/>
      <c r="BD22" s="118">
        <f>BD6</f>
        <v>0.03</v>
      </c>
      <c r="BE22" s="117">
        <f>($AR$36*(BE6/$BE$20))*(1+BB22)</f>
        <v>110.13879525818795</v>
      </c>
      <c r="BF22" s="74">
        <f>BF6</f>
        <v>170</v>
      </c>
      <c r="BG22" s="116">
        <f>BF22*BE22*15</f>
        <v>280853.92790837929</v>
      </c>
      <c r="BH22" s="86"/>
      <c r="BJ22" s="72"/>
    </row>
    <row r="23" spans="2:62" ht="15.75" hidden="1" customHeight="1" x14ac:dyDescent="0.25">
      <c r="B23" s="91" t="s">
        <v>173</v>
      </c>
      <c r="C23" s="188">
        <v>2007</v>
      </c>
      <c r="D23" s="256">
        <f>ROUND((F23/E23)/45,0)</f>
        <v>41</v>
      </c>
      <c r="E23" s="230">
        <v>105</v>
      </c>
      <c r="F23" s="259">
        <v>191397.19</v>
      </c>
      <c r="G23" s="256">
        <f>ROUND((I23/H23)/45,0)</f>
        <v>33</v>
      </c>
      <c r="H23" s="230">
        <f>H7</f>
        <v>105</v>
      </c>
      <c r="I23" s="259">
        <v>154380.59</v>
      </c>
      <c r="J23" s="256">
        <f>ROUND((L23/K23)/45,0)</f>
        <v>22</v>
      </c>
      <c r="K23" s="230">
        <f>K7</f>
        <v>105</v>
      </c>
      <c r="L23" s="259">
        <v>102026.47</v>
      </c>
      <c r="M23" s="230">
        <f>ROUND((O23/N23)/45,0)</f>
        <v>12</v>
      </c>
      <c r="N23" s="230">
        <v>105</v>
      </c>
      <c r="O23" s="258">
        <v>55721.09</v>
      </c>
      <c r="P23" s="256">
        <f t="shared" si="9"/>
        <v>1</v>
      </c>
      <c r="Q23" s="230">
        <v>105</v>
      </c>
      <c r="R23" s="259">
        <v>5987.33</v>
      </c>
      <c r="S23" s="256"/>
      <c r="T23" s="230"/>
      <c r="U23" s="255"/>
      <c r="V23" s="115"/>
      <c r="W23" s="114"/>
      <c r="X23" s="123"/>
      <c r="Y23" s="306"/>
      <c r="Z23" s="114"/>
      <c r="AA23" s="123">
        <v>0</v>
      </c>
      <c r="AB23" s="306"/>
      <c r="AC23" s="114"/>
      <c r="AD23" s="123"/>
      <c r="AF23" s="305"/>
      <c r="AG23" s="214"/>
      <c r="AH23" s="121"/>
      <c r="AJ23" s="305"/>
      <c r="AK23" s="214"/>
      <c r="AL23" s="121"/>
      <c r="AM23" s="80">
        <f t="shared" si="10"/>
        <v>0</v>
      </c>
      <c r="AO23" s="122"/>
      <c r="AP23" s="214"/>
      <c r="AQ23" s="214"/>
      <c r="AR23" s="117"/>
      <c r="AS23" s="74"/>
      <c r="AT23" s="120"/>
      <c r="AW23" s="80"/>
      <c r="BB23" s="122"/>
      <c r="BC23" s="214"/>
      <c r="BD23" s="214"/>
      <c r="BE23" s="117"/>
      <c r="BF23" s="74"/>
      <c r="BG23" s="116"/>
    </row>
    <row r="24" spans="2:62" x14ac:dyDescent="0.25">
      <c r="B24" s="91" t="s">
        <v>173</v>
      </c>
      <c r="C24" s="188">
        <v>2008</v>
      </c>
      <c r="D24" s="256"/>
      <c r="E24" s="230"/>
      <c r="F24" s="259"/>
      <c r="G24" s="256">
        <f>ROUND((I24/H24)/45,0)</f>
        <v>33</v>
      </c>
      <c r="H24" s="230">
        <f>H8</f>
        <v>115</v>
      </c>
      <c r="I24" s="259">
        <v>173333.57</v>
      </c>
      <c r="J24" s="256">
        <f>ROUND((L24/K24)/45,0)</f>
        <v>26</v>
      </c>
      <c r="K24" s="230">
        <f>K8</f>
        <v>115</v>
      </c>
      <c r="L24" s="259">
        <v>133679.98000000001</v>
      </c>
      <c r="M24" s="230">
        <f>ROUND((O24/N24)/45,0)</f>
        <v>22</v>
      </c>
      <c r="N24" s="230">
        <v>115</v>
      </c>
      <c r="O24" s="258">
        <v>113246.48</v>
      </c>
      <c r="P24" s="256">
        <f t="shared" si="9"/>
        <v>16</v>
      </c>
      <c r="Q24" s="230">
        <f>N24</f>
        <v>115</v>
      </c>
      <c r="R24" s="259">
        <v>81536.31</v>
      </c>
      <c r="S24" s="256">
        <f>ROUND((U24/T24)/45,0)</f>
        <v>-1</v>
      </c>
      <c r="T24" s="230">
        <v>115</v>
      </c>
      <c r="U24" s="255">
        <v>-6925.34</v>
      </c>
      <c r="V24" s="115">
        <f t="shared" ref="V24:V29" si="11">ROUND((X24/W24)/45,0)</f>
        <v>0</v>
      </c>
      <c r="W24" s="114">
        <v>115</v>
      </c>
      <c r="X24" s="123">
        <f>'[1]Res UG Tuition'!P122</f>
        <v>498.27809082944788</v>
      </c>
      <c r="Y24" s="306"/>
      <c r="Z24" s="114"/>
      <c r="AA24" s="123">
        <v>0</v>
      </c>
      <c r="AB24" s="306"/>
      <c r="AC24" s="114"/>
      <c r="AD24" s="123"/>
      <c r="AF24" s="305"/>
      <c r="AG24" s="214"/>
      <c r="AH24" s="121"/>
      <c r="AJ24" s="305"/>
      <c r="AK24" s="214"/>
      <c r="AL24" s="121">
        <v>0</v>
      </c>
      <c r="AM24" s="80">
        <f t="shared" si="10"/>
        <v>0</v>
      </c>
      <c r="AO24" s="122"/>
      <c r="AP24" s="214"/>
      <c r="AQ24" s="214"/>
      <c r="AR24" s="117"/>
      <c r="AS24" s="74"/>
      <c r="AT24" s="120"/>
      <c r="AW24" s="80"/>
      <c r="BB24" s="122"/>
      <c r="BC24" s="214"/>
      <c r="BD24" s="214"/>
      <c r="BE24" s="117"/>
      <c r="BF24" s="74"/>
      <c r="BG24" s="116"/>
    </row>
    <row r="25" spans="2:62" x14ac:dyDescent="0.25">
      <c r="B25" s="91" t="s">
        <v>173</v>
      </c>
      <c r="C25" s="188">
        <v>2009</v>
      </c>
      <c r="D25" s="256"/>
      <c r="E25" s="230"/>
      <c r="F25" s="259"/>
      <c r="G25" s="256"/>
      <c r="H25" s="230"/>
      <c r="I25" s="259"/>
      <c r="J25" s="256">
        <f>ROUND((L25/K25)/45,0)</f>
        <v>35</v>
      </c>
      <c r="K25" s="230">
        <f>K9</f>
        <v>125</v>
      </c>
      <c r="L25" s="259">
        <v>198885.58</v>
      </c>
      <c r="M25" s="230">
        <f>ROUND((O25/N25)/45,0)</f>
        <v>31</v>
      </c>
      <c r="N25" s="230">
        <v>125</v>
      </c>
      <c r="O25" s="258">
        <v>171574.8</v>
      </c>
      <c r="P25" s="256">
        <f t="shared" si="9"/>
        <v>26</v>
      </c>
      <c r="Q25" s="230">
        <f>N25</f>
        <v>125</v>
      </c>
      <c r="R25" s="259">
        <v>147622.84</v>
      </c>
      <c r="S25" s="256">
        <f>ROUND((U25/T25)/45,0)</f>
        <v>17</v>
      </c>
      <c r="T25" s="230">
        <v>125</v>
      </c>
      <c r="U25" s="255">
        <v>97071.91</v>
      </c>
      <c r="V25" s="115">
        <f t="shared" si="11"/>
        <v>0</v>
      </c>
      <c r="W25" s="114">
        <f>T25</f>
        <v>125</v>
      </c>
      <c r="X25" s="123">
        <f>'[1]Res UG Tuition'!P123</f>
        <v>-417.03709775942923</v>
      </c>
      <c r="Y25" s="306">
        <f t="shared" ref="Y25:Y30" si="12">ROUND((AA25/Z25)/15,0)</f>
        <v>0</v>
      </c>
      <c r="Z25" s="114">
        <v>125</v>
      </c>
      <c r="AA25" s="123">
        <v>-507.52</v>
      </c>
      <c r="AB25" s="306">
        <f t="shared" ref="AB25:AB31" si="13">ROUND((AD25/AC25)/15,0)</f>
        <v>0</v>
      </c>
      <c r="AC25" s="114">
        <v>125</v>
      </c>
      <c r="AD25" s="123"/>
      <c r="AF25" s="122">
        <v>0</v>
      </c>
      <c r="AG25" s="214">
        <v>125</v>
      </c>
      <c r="AH25" s="121"/>
      <c r="AJ25" s="122">
        <f t="shared" ref="AJ25:AJ32" si="14">ROUND((AL25/AK25)/15,0)</f>
        <v>0</v>
      </c>
      <c r="AK25" s="214">
        <v>125</v>
      </c>
      <c r="AL25" s="121">
        <v>0</v>
      </c>
      <c r="AM25" s="80">
        <f t="shared" si="10"/>
        <v>0</v>
      </c>
      <c r="AO25" s="275"/>
      <c r="AP25" s="214"/>
      <c r="AQ25" s="214"/>
      <c r="AR25" s="117">
        <f t="shared" ref="AR25:AR33" si="15">($AJ$36*(AR9/$AR$20))*(1+AO25)</f>
        <v>0</v>
      </c>
      <c r="AS25" s="74">
        <f t="shared" ref="AS25:AS33" si="16">AS9</f>
        <v>125</v>
      </c>
      <c r="AT25" s="120"/>
      <c r="AV25" s="64">
        <f t="shared" ref="AV25:AV33" si="17">AR25-AJ25</f>
        <v>0</v>
      </c>
      <c r="AW25" s="80">
        <f t="shared" ref="AW25:AW33" si="18">AT25-AL25</f>
        <v>0</v>
      </c>
      <c r="AY25" s="60">
        <v>0.1</v>
      </c>
      <c r="AZ25" s="72"/>
      <c r="BB25" s="275"/>
      <c r="BC25" s="214"/>
      <c r="BD25" s="214"/>
      <c r="BE25" s="117"/>
      <c r="BF25" s="74"/>
      <c r="BG25" s="116"/>
      <c r="BJ25" s="72"/>
    </row>
    <row r="26" spans="2:62" x14ac:dyDescent="0.25">
      <c r="B26" s="91" t="s">
        <v>173</v>
      </c>
      <c r="C26" s="188">
        <v>2010</v>
      </c>
      <c r="D26" s="256"/>
      <c r="E26" s="230"/>
      <c r="F26" s="259"/>
      <c r="G26" s="256"/>
      <c r="H26" s="230"/>
      <c r="I26" s="259"/>
      <c r="J26" s="256"/>
      <c r="K26" s="230"/>
      <c r="L26" s="259"/>
      <c r="M26" s="230">
        <f>ROUND((O26/N26)/45,0)</f>
        <v>43</v>
      </c>
      <c r="N26" s="230">
        <v>136</v>
      </c>
      <c r="O26" s="258">
        <v>263849.84999999998</v>
      </c>
      <c r="P26" s="256">
        <f t="shared" si="9"/>
        <v>29</v>
      </c>
      <c r="Q26" s="230">
        <f>N26</f>
        <v>136</v>
      </c>
      <c r="R26" s="259">
        <v>178525.62</v>
      </c>
      <c r="S26" s="256">
        <f>ROUND((U26/T26)/45,0)</f>
        <v>23</v>
      </c>
      <c r="T26" s="230">
        <v>136</v>
      </c>
      <c r="U26" s="255">
        <v>138302.79999999999</v>
      </c>
      <c r="V26" s="115">
        <f t="shared" si="11"/>
        <v>16</v>
      </c>
      <c r="W26" s="114">
        <f>T26</f>
        <v>136</v>
      </c>
      <c r="X26" s="123">
        <f>'[1]Res UG Tuition'!P124</f>
        <v>100209.14013200664</v>
      </c>
      <c r="Y26" s="306">
        <f t="shared" si="12"/>
        <v>1</v>
      </c>
      <c r="Z26" s="114">
        <v>136</v>
      </c>
      <c r="AA26" s="123">
        <v>1228.1500000000001</v>
      </c>
      <c r="AB26" s="306">
        <f t="shared" si="13"/>
        <v>-1</v>
      </c>
      <c r="AC26" s="114">
        <v>136</v>
      </c>
      <c r="AD26" s="123">
        <v>-1099.2912548132242</v>
      </c>
      <c r="AF26" s="122">
        <v>0</v>
      </c>
      <c r="AG26" s="214">
        <v>136</v>
      </c>
      <c r="AH26" s="121">
        <v>0</v>
      </c>
      <c r="AJ26" s="122">
        <f t="shared" si="14"/>
        <v>0</v>
      </c>
      <c r="AK26" s="214">
        <v>136</v>
      </c>
      <c r="AL26" s="121">
        <v>-0.48</v>
      </c>
      <c r="AM26" s="80">
        <f t="shared" si="10"/>
        <v>-0.48</v>
      </c>
      <c r="AO26" s="275"/>
      <c r="AP26" s="214"/>
      <c r="AQ26" s="214"/>
      <c r="AR26" s="117">
        <f t="shared" si="15"/>
        <v>0</v>
      </c>
      <c r="AS26" s="74">
        <f t="shared" si="16"/>
        <v>136</v>
      </c>
      <c r="AT26" s="120">
        <f t="shared" ref="AT26:AT33" si="19">AS26*AR26*15</f>
        <v>0</v>
      </c>
      <c r="AV26" s="64">
        <f t="shared" si="17"/>
        <v>0</v>
      </c>
      <c r="AW26" s="80">
        <f t="shared" si="18"/>
        <v>0.48</v>
      </c>
      <c r="AY26" s="60">
        <v>0.1</v>
      </c>
      <c r="AZ26" s="72"/>
      <c r="BB26" s="275"/>
      <c r="BC26" s="214"/>
      <c r="BD26" s="214"/>
      <c r="BE26" s="117">
        <f t="shared" ref="BE26:BE34" si="20">($AR$36*(BE10/$BE$20))*(1+BB26)</f>
        <v>0</v>
      </c>
      <c r="BF26" s="74">
        <f t="shared" ref="BF26:BF34" si="21">BF10</f>
        <v>0</v>
      </c>
      <c r="BG26" s="116">
        <f t="shared" ref="BG26:BG34" si="22">BF26*BE26*15</f>
        <v>0</v>
      </c>
      <c r="BJ26" s="72"/>
    </row>
    <row r="27" spans="2:62" x14ac:dyDescent="0.25">
      <c r="B27" s="91" t="s">
        <v>173</v>
      </c>
      <c r="C27" s="188">
        <v>2011</v>
      </c>
      <c r="D27" s="256"/>
      <c r="E27" s="230"/>
      <c r="F27" s="259"/>
      <c r="G27" s="256"/>
      <c r="H27" s="230"/>
      <c r="I27" s="259"/>
      <c r="J27" s="256"/>
      <c r="K27" s="230"/>
      <c r="L27" s="259"/>
      <c r="M27" s="230"/>
      <c r="N27" s="230"/>
      <c r="O27" s="258"/>
      <c r="P27" s="256">
        <f t="shared" si="9"/>
        <v>36</v>
      </c>
      <c r="Q27" s="230">
        <v>143</v>
      </c>
      <c r="R27" s="259">
        <v>233648.84</v>
      </c>
      <c r="S27" s="256">
        <f>ROUND((U27/T27)/45,0)</f>
        <v>27</v>
      </c>
      <c r="T27" s="230">
        <f>Q27</f>
        <v>143</v>
      </c>
      <c r="U27" s="255">
        <v>171027.01</v>
      </c>
      <c r="V27" s="115">
        <f t="shared" si="11"/>
        <v>20</v>
      </c>
      <c r="W27" s="114">
        <f>Q27</f>
        <v>143</v>
      </c>
      <c r="X27" s="123">
        <f>'[1]Res UG Tuition'!P125</f>
        <v>126349.24206221584</v>
      </c>
      <c r="Y27" s="306">
        <f t="shared" si="12"/>
        <v>57</v>
      </c>
      <c r="Z27" s="114">
        <v>143</v>
      </c>
      <c r="AA27" s="123">
        <v>121453.25</v>
      </c>
      <c r="AB27" s="306">
        <f t="shared" si="13"/>
        <v>1</v>
      </c>
      <c r="AC27" s="114">
        <v>143</v>
      </c>
      <c r="AD27" s="123">
        <v>2251.4236038569638</v>
      </c>
      <c r="AF27" s="122">
        <v>0</v>
      </c>
      <c r="AG27" s="214">
        <v>143</v>
      </c>
      <c r="AH27" s="121">
        <v>0</v>
      </c>
      <c r="AJ27" s="122">
        <f t="shared" si="14"/>
        <v>0</v>
      </c>
      <c r="AK27" s="214">
        <v>143</v>
      </c>
      <c r="AL27" s="121">
        <v>0</v>
      </c>
      <c r="AM27" s="80">
        <f t="shared" si="10"/>
        <v>0</v>
      </c>
      <c r="AO27" s="275"/>
      <c r="AP27" s="214"/>
      <c r="AQ27" s="214"/>
      <c r="AR27" s="117">
        <f t="shared" si="15"/>
        <v>0</v>
      </c>
      <c r="AS27" s="74">
        <f t="shared" si="16"/>
        <v>143</v>
      </c>
      <c r="AT27" s="120">
        <f t="shared" si="19"/>
        <v>0</v>
      </c>
      <c r="AV27" s="64">
        <f t="shared" si="17"/>
        <v>0</v>
      </c>
      <c r="AW27" s="80">
        <f t="shared" si="18"/>
        <v>0</v>
      </c>
      <c r="AY27" s="60">
        <v>0.1</v>
      </c>
      <c r="AZ27" s="72"/>
      <c r="BB27" s="275"/>
      <c r="BC27" s="214"/>
      <c r="BD27" s="214"/>
      <c r="BE27" s="117">
        <f t="shared" si="20"/>
        <v>0</v>
      </c>
      <c r="BF27" s="74">
        <f t="shared" si="21"/>
        <v>0</v>
      </c>
      <c r="BG27" s="116">
        <f t="shared" si="22"/>
        <v>0</v>
      </c>
      <c r="BJ27" s="72"/>
    </row>
    <row r="28" spans="2:62" x14ac:dyDescent="0.25">
      <c r="B28" s="91" t="s">
        <v>173</v>
      </c>
      <c r="C28" s="188">
        <v>2012</v>
      </c>
      <c r="D28" s="256"/>
      <c r="E28" s="230"/>
      <c r="F28" s="259"/>
      <c r="G28" s="256"/>
      <c r="H28" s="230"/>
      <c r="I28" s="259"/>
      <c r="J28" s="256"/>
      <c r="K28" s="230"/>
      <c r="L28" s="259"/>
      <c r="M28" s="230"/>
      <c r="N28" s="230"/>
      <c r="O28" s="258"/>
      <c r="P28" s="256"/>
      <c r="Q28" s="230"/>
      <c r="R28" s="257"/>
      <c r="S28" s="256">
        <f>ROUND((U28/T28)/45,0)</f>
        <v>13</v>
      </c>
      <c r="T28" s="230">
        <v>157</v>
      </c>
      <c r="U28" s="255">
        <v>89836.55</v>
      </c>
      <c r="V28" s="115">
        <f t="shared" si="11"/>
        <v>8</v>
      </c>
      <c r="W28" s="114">
        <f>T28</f>
        <v>157</v>
      </c>
      <c r="X28" s="123">
        <f>'[1]Res UG Tuition'!P126</f>
        <v>57417.884262166401</v>
      </c>
      <c r="Y28" s="306">
        <f t="shared" si="12"/>
        <v>26</v>
      </c>
      <c r="Z28" s="114">
        <v>157</v>
      </c>
      <c r="AA28" s="123">
        <v>60735.62</v>
      </c>
      <c r="AB28" s="306">
        <f t="shared" si="13"/>
        <v>34</v>
      </c>
      <c r="AC28" s="114">
        <v>157</v>
      </c>
      <c r="AD28" s="123">
        <v>80741.130600495249</v>
      </c>
      <c r="AF28" s="122">
        <v>1</v>
      </c>
      <c r="AG28" s="214">
        <v>157</v>
      </c>
      <c r="AH28" s="121">
        <v>2355</v>
      </c>
      <c r="AJ28" s="122">
        <f t="shared" si="14"/>
        <v>-1</v>
      </c>
      <c r="AK28" s="214">
        <v>157</v>
      </c>
      <c r="AL28" s="121">
        <v>-3019.35</v>
      </c>
      <c r="AM28" s="80">
        <f t="shared" si="10"/>
        <v>-5374.35</v>
      </c>
      <c r="AO28" s="275"/>
      <c r="AP28" s="214"/>
      <c r="AQ28" s="214"/>
      <c r="AR28" s="117">
        <f t="shared" si="15"/>
        <v>0</v>
      </c>
      <c r="AS28" s="74">
        <f t="shared" si="16"/>
        <v>157</v>
      </c>
      <c r="AT28" s="120">
        <f t="shared" si="19"/>
        <v>0</v>
      </c>
      <c r="AV28" s="64">
        <f t="shared" si="17"/>
        <v>1</v>
      </c>
      <c r="AW28" s="80">
        <f t="shared" si="18"/>
        <v>3019.35</v>
      </c>
      <c r="AY28" s="60">
        <v>0.1</v>
      </c>
      <c r="AZ28" s="72"/>
      <c r="BB28" s="275"/>
      <c r="BC28" s="214"/>
      <c r="BD28" s="214"/>
      <c r="BE28" s="117">
        <f t="shared" si="20"/>
        <v>0</v>
      </c>
      <c r="BF28" s="74">
        <f t="shared" si="21"/>
        <v>0</v>
      </c>
      <c r="BG28" s="116">
        <f t="shared" si="22"/>
        <v>0</v>
      </c>
      <c r="BJ28" s="72"/>
    </row>
    <row r="29" spans="2:62" x14ac:dyDescent="0.25">
      <c r="B29" s="91" t="s">
        <v>173</v>
      </c>
      <c r="C29" s="188">
        <v>2013</v>
      </c>
      <c r="D29" s="256"/>
      <c r="E29" s="230"/>
      <c r="F29" s="259"/>
      <c r="G29" s="256"/>
      <c r="H29" s="230"/>
      <c r="I29" s="259"/>
      <c r="J29" s="256"/>
      <c r="K29" s="230"/>
      <c r="L29" s="259"/>
      <c r="M29" s="230"/>
      <c r="N29" s="230"/>
      <c r="O29" s="258"/>
      <c r="P29" s="256"/>
      <c r="Q29" s="230"/>
      <c r="R29" s="257"/>
      <c r="S29" s="256"/>
      <c r="T29" s="230"/>
      <c r="U29" s="255"/>
      <c r="V29" s="115">
        <f t="shared" si="11"/>
        <v>10</v>
      </c>
      <c r="W29" s="114">
        <v>164</v>
      </c>
      <c r="X29" s="123">
        <f>'[1]Res UG Tuition'!P127</f>
        <v>76882.142988501946</v>
      </c>
      <c r="Y29" s="306">
        <f t="shared" si="12"/>
        <v>22</v>
      </c>
      <c r="Z29" s="114">
        <v>164</v>
      </c>
      <c r="AA29" s="123">
        <v>53955.82</v>
      </c>
      <c r="AB29" s="306">
        <f t="shared" si="13"/>
        <v>19</v>
      </c>
      <c r="AC29" s="114">
        <v>164</v>
      </c>
      <c r="AD29" s="123">
        <v>45610.093982543083</v>
      </c>
      <c r="AF29" s="122">
        <v>34</v>
      </c>
      <c r="AG29" s="214">
        <v>164</v>
      </c>
      <c r="AH29" s="121">
        <v>83640</v>
      </c>
      <c r="AJ29" s="122">
        <f t="shared" si="14"/>
        <v>15</v>
      </c>
      <c r="AK29" s="214">
        <v>164</v>
      </c>
      <c r="AL29" s="121">
        <v>37050.71</v>
      </c>
      <c r="AM29" s="80">
        <f t="shared" si="10"/>
        <v>-46589.29</v>
      </c>
      <c r="AO29" s="275"/>
      <c r="AP29" s="214"/>
      <c r="AQ29" s="214"/>
      <c r="AR29" s="117">
        <f t="shared" si="15"/>
        <v>0.4247699641659437</v>
      </c>
      <c r="AS29" s="74">
        <f t="shared" si="16"/>
        <v>164</v>
      </c>
      <c r="AT29" s="120">
        <f t="shared" si="19"/>
        <v>1044.9341118482216</v>
      </c>
      <c r="AV29" s="64">
        <f t="shared" si="17"/>
        <v>-14.575230035834057</v>
      </c>
      <c r="AW29" s="80">
        <f t="shared" si="18"/>
        <v>-36005.77588815178</v>
      </c>
      <c r="AY29" s="60">
        <v>0.1</v>
      </c>
      <c r="AZ29" s="72"/>
      <c r="BB29" s="275"/>
      <c r="BC29" s="214"/>
      <c r="BD29" s="214"/>
      <c r="BE29" s="117">
        <f t="shared" si="20"/>
        <v>0</v>
      </c>
      <c r="BF29" s="74">
        <f t="shared" si="21"/>
        <v>0</v>
      </c>
      <c r="BG29" s="116">
        <f t="shared" si="22"/>
        <v>0</v>
      </c>
      <c r="BJ29" s="72"/>
    </row>
    <row r="30" spans="2:62" x14ac:dyDescent="0.25">
      <c r="B30" s="91" t="s">
        <v>173</v>
      </c>
      <c r="C30" s="188">
        <v>2014</v>
      </c>
      <c r="D30" s="256"/>
      <c r="E30" s="230"/>
      <c r="F30" s="259"/>
      <c r="G30" s="256"/>
      <c r="H30" s="230"/>
      <c r="I30" s="259"/>
      <c r="J30" s="256"/>
      <c r="K30" s="230"/>
      <c r="L30" s="259"/>
      <c r="M30" s="230"/>
      <c r="N30" s="230"/>
      <c r="O30" s="258"/>
      <c r="P30" s="256"/>
      <c r="Q30" s="230"/>
      <c r="R30" s="257"/>
      <c r="S30" s="256"/>
      <c r="T30" s="230"/>
      <c r="U30" s="255"/>
      <c r="V30" s="115"/>
      <c r="W30" s="114"/>
      <c r="X30" s="126"/>
      <c r="Y30" s="306">
        <f t="shared" si="12"/>
        <v>28</v>
      </c>
      <c r="Z30" s="114">
        <v>168</v>
      </c>
      <c r="AA30" s="123">
        <v>69697.98</v>
      </c>
      <c r="AB30" s="306">
        <f t="shared" si="13"/>
        <v>26</v>
      </c>
      <c r="AC30" s="114">
        <v>168</v>
      </c>
      <c r="AD30" s="123">
        <v>65157.411723383499</v>
      </c>
      <c r="AF30" s="122">
        <v>19</v>
      </c>
      <c r="AG30" s="214">
        <v>168</v>
      </c>
      <c r="AH30" s="121">
        <v>47880</v>
      </c>
      <c r="AJ30" s="122">
        <f t="shared" si="14"/>
        <v>9</v>
      </c>
      <c r="AK30" s="214">
        <v>168</v>
      </c>
      <c r="AL30" s="121">
        <v>21699.14</v>
      </c>
      <c r="AM30" s="80">
        <f t="shared" si="10"/>
        <v>-26180.86</v>
      </c>
      <c r="AO30" s="275"/>
      <c r="AP30" s="214"/>
      <c r="AQ30" s="214"/>
      <c r="AR30" s="117">
        <f t="shared" si="15"/>
        <v>12.047884370006789</v>
      </c>
      <c r="AS30" s="74">
        <f t="shared" si="16"/>
        <v>168</v>
      </c>
      <c r="AT30" s="120">
        <f t="shared" si="19"/>
        <v>30360.66861241711</v>
      </c>
      <c r="AV30" s="64">
        <f t="shared" si="17"/>
        <v>3.0478843700067895</v>
      </c>
      <c r="AW30" s="80">
        <f t="shared" si="18"/>
        <v>8661.5286124171107</v>
      </c>
      <c r="AY30" s="60">
        <v>0.1</v>
      </c>
      <c r="AZ30" s="72"/>
      <c r="BB30" s="275"/>
      <c r="BC30" s="214"/>
      <c r="BD30" s="214"/>
      <c r="BE30" s="117">
        <f t="shared" si="20"/>
        <v>0.29137605494103802</v>
      </c>
      <c r="BF30" s="74">
        <f t="shared" si="21"/>
        <v>168</v>
      </c>
      <c r="BG30" s="116">
        <f t="shared" si="22"/>
        <v>734.26765845141585</v>
      </c>
      <c r="BJ30" s="72"/>
    </row>
    <row r="31" spans="2:62" x14ac:dyDescent="0.25">
      <c r="B31" s="91" t="s">
        <v>173</v>
      </c>
      <c r="C31" s="188">
        <v>2015</v>
      </c>
      <c r="D31" s="256"/>
      <c r="E31" s="230"/>
      <c r="F31" s="259"/>
      <c r="G31" s="256"/>
      <c r="H31" s="230"/>
      <c r="I31" s="259"/>
      <c r="J31" s="256"/>
      <c r="K31" s="230"/>
      <c r="L31" s="259"/>
      <c r="M31" s="230"/>
      <c r="N31" s="230"/>
      <c r="O31" s="258"/>
      <c r="P31" s="256"/>
      <c r="Q31" s="230"/>
      <c r="R31" s="257"/>
      <c r="S31" s="256"/>
      <c r="T31" s="230"/>
      <c r="U31" s="255"/>
      <c r="V31" s="115"/>
      <c r="W31" s="114"/>
      <c r="X31" s="126"/>
      <c r="Y31" s="306"/>
      <c r="Z31" s="114"/>
      <c r="AA31" s="126"/>
      <c r="AB31" s="306">
        <f t="shared" si="13"/>
        <v>24</v>
      </c>
      <c r="AC31" s="114">
        <v>172</v>
      </c>
      <c r="AD31" s="126">
        <v>61436.506291926926</v>
      </c>
      <c r="AF31" s="122">
        <v>26</v>
      </c>
      <c r="AG31" s="214">
        <v>172</v>
      </c>
      <c r="AH31" s="121">
        <v>67080</v>
      </c>
      <c r="AJ31" s="122">
        <f t="shared" si="14"/>
        <v>13</v>
      </c>
      <c r="AK31" s="214">
        <v>172</v>
      </c>
      <c r="AL31" s="121">
        <v>33812.089999999997</v>
      </c>
      <c r="AM31" s="80">
        <f t="shared" si="10"/>
        <v>-33267.910000000003</v>
      </c>
      <c r="AO31" s="275"/>
      <c r="AP31" s="214"/>
      <c r="AQ31" s="118"/>
      <c r="AR31" s="117">
        <f t="shared" si="15"/>
        <v>13.297909273887125</v>
      </c>
      <c r="AS31" s="74">
        <f t="shared" si="16"/>
        <v>172</v>
      </c>
      <c r="AT31" s="120">
        <f t="shared" si="19"/>
        <v>34308.605926628785</v>
      </c>
      <c r="AU31" s="86"/>
      <c r="AV31" s="64">
        <f t="shared" si="17"/>
        <v>0.29790927388712518</v>
      </c>
      <c r="AW31" s="80">
        <f t="shared" si="18"/>
        <v>496.51592662878829</v>
      </c>
      <c r="AY31" s="60">
        <v>0.1</v>
      </c>
      <c r="AZ31" s="72"/>
      <c r="BB31" s="275"/>
      <c r="BC31" s="214"/>
      <c r="BD31" s="118"/>
      <c r="BE31" s="117">
        <f t="shared" si="20"/>
        <v>11.093109973252648</v>
      </c>
      <c r="BF31" s="74">
        <f t="shared" si="21"/>
        <v>172</v>
      </c>
      <c r="BG31" s="116">
        <f t="shared" si="22"/>
        <v>28620.223730991831</v>
      </c>
      <c r="BH31" s="86"/>
      <c r="BJ31" s="72"/>
    </row>
    <row r="32" spans="2:62" x14ac:dyDescent="0.25">
      <c r="B32" s="91" t="s">
        <v>173</v>
      </c>
      <c r="C32" s="188">
        <v>2016</v>
      </c>
      <c r="D32" s="256"/>
      <c r="E32" s="230"/>
      <c r="F32" s="259"/>
      <c r="G32" s="256"/>
      <c r="H32" s="230"/>
      <c r="I32" s="259"/>
      <c r="J32" s="256"/>
      <c r="K32" s="230"/>
      <c r="L32" s="259"/>
      <c r="M32" s="230"/>
      <c r="N32" s="230"/>
      <c r="O32" s="258"/>
      <c r="P32" s="256"/>
      <c r="Q32" s="230"/>
      <c r="R32" s="257"/>
      <c r="S32" s="256"/>
      <c r="T32" s="230"/>
      <c r="U32" s="255"/>
      <c r="V32" s="115"/>
      <c r="W32" s="114"/>
      <c r="X32" s="126"/>
      <c r="Y32" s="306"/>
      <c r="Z32" s="114"/>
      <c r="AA32" s="126"/>
      <c r="AB32" s="306"/>
      <c r="AC32" s="114"/>
      <c r="AD32" s="126"/>
      <c r="AF32" s="122">
        <v>22</v>
      </c>
      <c r="AG32" s="307">
        <v>181</v>
      </c>
      <c r="AH32" s="121">
        <v>59730</v>
      </c>
      <c r="AJ32" s="122">
        <f t="shared" si="14"/>
        <v>14</v>
      </c>
      <c r="AK32" s="307">
        <v>181</v>
      </c>
      <c r="AL32" s="121">
        <v>39201.96</v>
      </c>
      <c r="AM32" s="80">
        <f t="shared" si="10"/>
        <v>-20528.04</v>
      </c>
      <c r="AO32" s="275"/>
      <c r="AP32" s="214"/>
      <c r="AQ32" s="118"/>
      <c r="AR32" s="117">
        <f t="shared" si="15"/>
        <v>13.368535594515707</v>
      </c>
      <c r="AS32" s="74">
        <f t="shared" si="16"/>
        <v>181</v>
      </c>
      <c r="AT32" s="120">
        <f t="shared" si="19"/>
        <v>36295.574139110147</v>
      </c>
      <c r="AU32" s="86"/>
      <c r="AV32" s="64">
        <f t="shared" si="17"/>
        <v>-0.63146440548429261</v>
      </c>
      <c r="AW32" s="80">
        <f t="shared" si="18"/>
        <v>-2906.3858608898518</v>
      </c>
      <c r="AY32" s="60">
        <v>0.1</v>
      </c>
      <c r="AZ32" s="72"/>
      <c r="BB32" s="275"/>
      <c r="BC32" s="214"/>
      <c r="BD32" s="118"/>
      <c r="BE32" s="117">
        <f t="shared" si="20"/>
        <v>9.5872872329464336</v>
      </c>
      <c r="BF32" s="74">
        <f t="shared" si="21"/>
        <v>181</v>
      </c>
      <c r="BG32" s="116">
        <f t="shared" si="22"/>
        <v>26029.484837449567</v>
      </c>
      <c r="BH32" s="86"/>
      <c r="BJ32" s="72"/>
    </row>
    <row r="33" spans="1:62" x14ac:dyDescent="0.25">
      <c r="B33" s="91" t="s">
        <v>173</v>
      </c>
      <c r="C33" s="188">
        <v>2017</v>
      </c>
      <c r="D33" s="256"/>
      <c r="E33" s="230"/>
      <c r="F33" s="259"/>
      <c r="G33" s="256"/>
      <c r="H33" s="230"/>
      <c r="I33" s="259"/>
      <c r="J33" s="256"/>
      <c r="K33" s="230"/>
      <c r="L33" s="259"/>
      <c r="M33" s="230"/>
      <c r="N33" s="230"/>
      <c r="O33" s="258"/>
      <c r="P33" s="256"/>
      <c r="Q33" s="230"/>
      <c r="R33" s="257"/>
      <c r="S33" s="256"/>
      <c r="T33" s="230"/>
      <c r="U33" s="255"/>
      <c r="V33" s="115"/>
      <c r="W33" s="114"/>
      <c r="X33" s="126"/>
      <c r="Y33" s="306"/>
      <c r="Z33" s="114"/>
      <c r="AA33" s="126"/>
      <c r="AB33" s="306"/>
      <c r="AC33" s="114"/>
      <c r="AD33" s="126"/>
      <c r="AF33" s="122"/>
      <c r="AG33" s="307"/>
      <c r="AH33" s="121"/>
      <c r="AJ33" s="122"/>
      <c r="AK33" s="307"/>
      <c r="AL33" s="121"/>
      <c r="AO33" s="254">
        <v>-0.03</v>
      </c>
      <c r="AP33" s="214"/>
      <c r="AQ33" s="118">
        <f>AQ17</f>
        <v>6.5000000000000002E-2</v>
      </c>
      <c r="AR33" s="117">
        <f t="shared" si="15"/>
        <v>14.627449291727965</v>
      </c>
      <c r="AS33" s="74">
        <f t="shared" si="16"/>
        <v>193</v>
      </c>
      <c r="AT33" s="120">
        <f t="shared" si="19"/>
        <v>42346.465699552456</v>
      </c>
      <c r="AU33" s="86"/>
      <c r="AV33" s="64">
        <f t="shared" si="17"/>
        <v>14.627449291727965</v>
      </c>
      <c r="AW33" s="80">
        <f t="shared" si="18"/>
        <v>42346.465699552456</v>
      </c>
      <c r="AY33" s="60">
        <v>0.1</v>
      </c>
      <c r="AZ33" s="72"/>
      <c r="BB33" s="275"/>
      <c r="BC33" s="214"/>
      <c r="BD33" s="118"/>
      <c r="BE33" s="117">
        <f t="shared" si="20"/>
        <v>12.128919207968247</v>
      </c>
      <c r="BF33" s="74">
        <f t="shared" si="21"/>
        <v>193</v>
      </c>
      <c r="BG33" s="116">
        <f t="shared" si="22"/>
        <v>35113.221107068071</v>
      </c>
      <c r="BH33" s="86"/>
      <c r="BJ33" s="72"/>
    </row>
    <row r="34" spans="1:62" x14ac:dyDescent="0.25">
      <c r="B34" s="91"/>
      <c r="C34" s="188"/>
      <c r="D34" s="256"/>
      <c r="E34" s="230"/>
      <c r="F34" s="259"/>
      <c r="G34" s="256"/>
      <c r="H34" s="230"/>
      <c r="I34" s="259"/>
      <c r="J34" s="256"/>
      <c r="K34" s="230"/>
      <c r="L34" s="259"/>
      <c r="M34" s="230"/>
      <c r="N34" s="230"/>
      <c r="O34" s="258"/>
      <c r="P34" s="256"/>
      <c r="Q34" s="230"/>
      <c r="R34" s="257"/>
      <c r="S34" s="256"/>
      <c r="T34" s="230"/>
      <c r="U34" s="255"/>
      <c r="V34" s="115"/>
      <c r="W34" s="114"/>
      <c r="X34" s="126"/>
      <c r="Y34" s="306"/>
      <c r="Z34" s="114"/>
      <c r="AA34" s="126"/>
      <c r="AB34" s="306"/>
      <c r="AC34" s="114"/>
      <c r="AD34" s="126"/>
      <c r="AF34" s="305"/>
      <c r="AG34" s="214"/>
      <c r="AH34" s="261"/>
      <c r="AJ34" s="305"/>
      <c r="AK34" s="214"/>
      <c r="AL34" s="261"/>
      <c r="AO34" s="122"/>
      <c r="AP34" s="214"/>
      <c r="AQ34" s="214"/>
      <c r="AR34" s="117"/>
      <c r="AS34" s="74"/>
      <c r="AT34" s="260"/>
      <c r="AW34" s="80"/>
      <c r="BB34" s="254">
        <f>BB17</f>
        <v>0</v>
      </c>
      <c r="BC34" s="214"/>
      <c r="BD34" s="118">
        <f>BD18</f>
        <v>0.03</v>
      </c>
      <c r="BE34" s="117">
        <f t="shared" si="20"/>
        <v>14.104685248780964</v>
      </c>
      <c r="BF34" s="74">
        <f t="shared" si="21"/>
        <v>199</v>
      </c>
      <c r="BG34" s="116">
        <f t="shared" si="22"/>
        <v>42102.485467611179</v>
      </c>
    </row>
    <row r="35" spans="1:62" x14ac:dyDescent="0.25">
      <c r="B35" s="91"/>
      <c r="C35" s="188"/>
      <c r="D35" s="256"/>
      <c r="E35" s="230"/>
      <c r="F35" s="259"/>
      <c r="G35" s="256"/>
      <c r="H35" s="230"/>
      <c r="I35" s="259"/>
      <c r="J35" s="256"/>
      <c r="K35" s="230"/>
      <c r="L35" s="259"/>
      <c r="M35" s="230"/>
      <c r="N35" s="230"/>
      <c r="O35" s="258"/>
      <c r="P35" s="256"/>
      <c r="Q35" s="230"/>
      <c r="R35" s="257"/>
      <c r="S35" s="256"/>
      <c r="T35" s="230"/>
      <c r="U35" s="255"/>
      <c r="V35" s="115"/>
      <c r="W35" s="114"/>
      <c r="X35" s="126"/>
      <c r="Y35" s="306"/>
      <c r="Z35" s="114"/>
      <c r="AA35" s="126"/>
      <c r="AB35" s="306"/>
      <c r="AC35" s="114"/>
      <c r="AD35" s="126"/>
      <c r="AF35" s="305"/>
      <c r="AG35" s="214"/>
      <c r="AH35" s="261"/>
      <c r="AJ35" s="305"/>
      <c r="AK35" s="214"/>
      <c r="AL35" s="261"/>
      <c r="AO35" s="122"/>
      <c r="AP35" s="214"/>
      <c r="AQ35" s="214"/>
      <c r="AR35" s="117"/>
      <c r="AS35" s="74"/>
      <c r="AT35" s="260"/>
      <c r="AW35" s="80"/>
      <c r="BB35" s="275"/>
      <c r="BC35" s="214"/>
      <c r="BD35" s="214"/>
      <c r="BE35" s="117"/>
      <c r="BF35" s="74"/>
      <c r="BG35" s="127"/>
    </row>
    <row r="36" spans="1:62" s="59" customFormat="1" x14ac:dyDescent="0.25">
      <c r="B36" s="274" t="s">
        <v>172</v>
      </c>
      <c r="C36" s="169"/>
      <c r="D36" s="265">
        <f>SUM(D22:D31)</f>
        <v>125</v>
      </c>
      <c r="E36" s="186">
        <f>ROUND((F36/D36)/45,0)</f>
        <v>99</v>
      </c>
      <c r="F36" s="268">
        <f>SUM(F22:F31)</f>
        <v>555217</v>
      </c>
      <c r="G36" s="265">
        <f>SUM(G22:G31)</f>
        <v>107</v>
      </c>
      <c r="H36" s="186">
        <f>ROUND((I36/G36)/45,0)</f>
        <v>106</v>
      </c>
      <c r="I36" s="268">
        <f>SUM(I22:I31)</f>
        <v>508719.27999999997</v>
      </c>
      <c r="J36" s="265">
        <f>SUM(J22:J31)</f>
        <v>95</v>
      </c>
      <c r="K36" s="186">
        <f>ROUND((L36/J36)/45,0)</f>
        <v>115</v>
      </c>
      <c r="L36" s="268">
        <f>SUM(L22:L31)</f>
        <v>492969</v>
      </c>
      <c r="M36" s="186">
        <f>SUM(M22:M31)</f>
        <v>113</v>
      </c>
      <c r="N36" s="186">
        <f>ROUND((O36/M36)/45,0)</f>
        <v>124</v>
      </c>
      <c r="O36" s="267">
        <f>SUM(O22:O31)</f>
        <v>628347.43999999994</v>
      </c>
      <c r="P36" s="265">
        <f>SUM(P22:P31)</f>
        <v>107</v>
      </c>
      <c r="Q36" s="186">
        <f>ROUND((R36/P36)/45,0)</f>
        <v>134</v>
      </c>
      <c r="R36" s="266">
        <f>SUM(R22:R31)</f>
        <v>643338</v>
      </c>
      <c r="S36" s="265">
        <f>SUM(S22:S31)</f>
        <v>96</v>
      </c>
      <c r="T36" s="186">
        <f>ROUND((U36/S36)/45,0)</f>
        <v>140</v>
      </c>
      <c r="U36" s="185">
        <f>SUM(U22:U31)</f>
        <v>602661.43000000005</v>
      </c>
      <c r="V36" s="184">
        <f>SUM(V22:V31)</f>
        <v>84</v>
      </c>
      <c r="W36" s="183">
        <f>ROUND((X36/V36)/45,0)</f>
        <v>148</v>
      </c>
      <c r="X36" s="182">
        <f>SUM(X22:X31)</f>
        <v>557560.9</v>
      </c>
      <c r="Y36" s="304">
        <f>SUM(Y22:Y31)</f>
        <v>237</v>
      </c>
      <c r="Z36" s="183">
        <v>151</v>
      </c>
      <c r="AA36" s="182">
        <f>SUM(AA22:AA31)</f>
        <v>536282.92000000004</v>
      </c>
      <c r="AB36" s="304">
        <f>SUM(AB22:AB31)</f>
        <v>223</v>
      </c>
      <c r="AC36" s="183">
        <f>ROUND((AD36/AB36)/15,0)</f>
        <v>157</v>
      </c>
      <c r="AD36" s="182">
        <f>SUM(AD22:AD31)</f>
        <v>526712.79</v>
      </c>
      <c r="AF36" s="303">
        <f>SUM(AF22:AF32)</f>
        <v>216</v>
      </c>
      <c r="AG36" s="180">
        <f>ROUND((AH36/AF36)/15,0)</f>
        <v>162</v>
      </c>
      <c r="AH36" s="179">
        <f>SUM(AH22:AH32)</f>
        <v>525735</v>
      </c>
      <c r="AJ36" s="303">
        <f>SUM(AJ22:AJ32)</f>
        <v>161</v>
      </c>
      <c r="AK36" s="180">
        <f>ROUND((AL36/AJ36)/15,0)</f>
        <v>160</v>
      </c>
      <c r="AL36" s="179">
        <f>SUM(AL22:AL32)</f>
        <v>385725.97000000003</v>
      </c>
      <c r="AM36" s="273">
        <f>AL36-AH36</f>
        <v>-140009.02999999997</v>
      </c>
      <c r="AO36" s="272">
        <f>(AR36-AJ36)/AJ36</f>
        <v>-2.2707000148588268E-2</v>
      </c>
      <c r="AP36" s="180"/>
      <c r="AQ36" s="271">
        <f>(AS36-AK36)/AK36</f>
        <v>6.25E-2</v>
      </c>
      <c r="AR36" s="177">
        <f>SUM(AR22:AR33)</f>
        <v>157.34417297607729</v>
      </c>
      <c r="AS36" s="176">
        <f>ROUND((AT36/AR36)/15,0)</f>
        <v>170</v>
      </c>
      <c r="AT36" s="178">
        <f>SUM(AT22:AT34)</f>
        <v>400710.86908194673</v>
      </c>
      <c r="AV36" s="64">
        <f>AR36-AJ36</f>
        <v>-3.6558270239227113</v>
      </c>
      <c r="AW36" s="273">
        <f>AT36-AL36</f>
        <v>14984.8990819467</v>
      </c>
      <c r="AY36" s="60">
        <v>0.1</v>
      </c>
      <c r="AZ36" s="72"/>
      <c r="BB36" s="272">
        <f>(BE36-AR36)/AR36</f>
        <v>-1.8063401327690262E-16</v>
      </c>
      <c r="BC36" s="180"/>
      <c r="BD36" s="271">
        <f>(BF36-AS36)/AS36</f>
        <v>2.9411764705882353E-2</v>
      </c>
      <c r="BE36" s="177">
        <f>SUM(BE22:BE34)</f>
        <v>157.34417297607726</v>
      </c>
      <c r="BF36" s="176">
        <f>ROUND((BG36/BE36)/15,0)</f>
        <v>175</v>
      </c>
      <c r="BG36" s="175">
        <f>SUM(BG22:BG34)</f>
        <v>413453.61070995132</v>
      </c>
      <c r="BI36" s="60"/>
      <c r="BJ36" s="72"/>
    </row>
    <row r="37" spans="1:62" x14ac:dyDescent="0.25">
      <c r="B37" s="91"/>
      <c r="C37" s="188"/>
      <c r="D37" s="285"/>
      <c r="E37" s="280"/>
      <c r="F37" s="284"/>
      <c r="G37" s="285"/>
      <c r="H37" s="280"/>
      <c r="I37" s="284"/>
      <c r="J37" s="285"/>
      <c r="K37" s="280"/>
      <c r="L37" s="284"/>
      <c r="M37" s="280"/>
      <c r="N37" s="280"/>
      <c r="O37" s="283"/>
      <c r="P37" s="285"/>
      <c r="Q37" s="280"/>
      <c r="R37" s="282"/>
      <c r="S37" s="285"/>
      <c r="T37" s="280"/>
      <c r="U37" s="279"/>
      <c r="V37" s="115"/>
      <c r="W37" s="114"/>
      <c r="X37" s="126"/>
      <c r="Y37" s="115"/>
      <c r="Z37" s="114"/>
      <c r="AA37" s="126"/>
      <c r="AB37" s="115"/>
      <c r="AC37" s="114"/>
      <c r="AD37" s="126"/>
      <c r="AF37" s="122"/>
      <c r="AG37" s="214"/>
      <c r="AH37" s="261"/>
      <c r="AJ37" s="122">
        <f>AJ22/AJ36</f>
        <v>0.68944099378881984</v>
      </c>
      <c r="AK37" s="214"/>
      <c r="AL37" s="261"/>
      <c r="AO37" s="122"/>
      <c r="AP37" s="214"/>
      <c r="AQ37" s="214"/>
      <c r="AR37" s="117"/>
      <c r="AS37" s="74"/>
      <c r="AT37" s="260"/>
      <c r="AW37" s="80"/>
      <c r="BB37" s="122"/>
      <c r="BC37" s="214"/>
      <c r="BD37" s="214"/>
      <c r="BE37" s="117"/>
      <c r="BF37" s="74"/>
      <c r="BG37" s="127"/>
    </row>
    <row r="38" spans="1:62" s="59" customFormat="1" x14ac:dyDescent="0.25">
      <c r="A38" s="59" t="s">
        <v>165</v>
      </c>
      <c r="C38" s="169"/>
      <c r="D38" s="299">
        <f>SUM(D20,D36)</f>
        <v>3238</v>
      </c>
      <c r="E38" s="298">
        <f>ROUND((F38/D38)/45,0)</f>
        <v>100</v>
      </c>
      <c r="F38" s="302">
        <f>SUM(F20,F36)</f>
        <v>14512995.01</v>
      </c>
      <c r="G38" s="299">
        <f>SUM(G20,G36)</f>
        <v>3206</v>
      </c>
      <c r="H38" s="298">
        <f>ROUND((I38/G38)/45,0)</f>
        <v>108</v>
      </c>
      <c r="I38" s="302">
        <f>SUM(I20,I36)</f>
        <v>15626050.939999999</v>
      </c>
      <c r="J38" s="299">
        <f>SUM(J20,J36)</f>
        <v>3362</v>
      </c>
      <c r="K38" s="298">
        <f>ROUND((L38/J38)/45,0)</f>
        <v>116</v>
      </c>
      <c r="L38" s="302">
        <f>SUM(L20,L36)</f>
        <v>17581427.600000001</v>
      </c>
      <c r="M38" s="299">
        <f>SUM(M20,M36)</f>
        <v>3572</v>
      </c>
      <c r="N38" s="298">
        <f>ROUND((O38/M38)/45,0)</f>
        <v>124</v>
      </c>
      <c r="O38" s="301">
        <f>SUM(O20,O36)</f>
        <v>19994076.440000001</v>
      </c>
      <c r="P38" s="299">
        <f>SUM(P20,P36)</f>
        <v>3607</v>
      </c>
      <c r="Q38" s="298">
        <f>ROUND((R38/P38)/45,0)</f>
        <v>133</v>
      </c>
      <c r="R38" s="300">
        <f>SUM(R20,R36)</f>
        <v>21534952.859999999</v>
      </c>
      <c r="S38" s="299">
        <f>SUM(S20,S36)</f>
        <v>3433</v>
      </c>
      <c r="T38" s="298">
        <f>ROUND((U38/S38)/45,0)</f>
        <v>141</v>
      </c>
      <c r="U38" s="297">
        <f>SUM(U20,U36)</f>
        <v>21758167.790000003</v>
      </c>
      <c r="V38" s="269">
        <f>SUM(V20,V36)</f>
        <v>3232</v>
      </c>
      <c r="W38" s="245">
        <f>ROUND((X38/V38)/45,0)</f>
        <v>148</v>
      </c>
      <c r="X38" s="244">
        <f>SUM(X20,X36)</f>
        <v>21505700.259999998</v>
      </c>
      <c r="Y38" s="247">
        <f>SUM(Y20,Y36)</f>
        <v>3111</v>
      </c>
      <c r="Z38" s="245">
        <v>145</v>
      </c>
      <c r="AA38" s="244">
        <f>SUM(AA20,AA36)</f>
        <v>20263443.880000003</v>
      </c>
      <c r="AB38" s="247">
        <f>SUM(AB20,AB36)</f>
        <v>3000</v>
      </c>
      <c r="AC38" s="245">
        <f>ROUND((AD38/AB38)/45,0)</f>
        <v>150</v>
      </c>
      <c r="AD38" s="244">
        <f>SUM(AD20,AD36)</f>
        <v>20223071.399999999</v>
      </c>
      <c r="AF38" s="296">
        <f>SUM(AF20,AF36)</f>
        <v>2900</v>
      </c>
      <c r="AG38" s="242">
        <f>ROUND((AH38/AF38)/45,0)</f>
        <v>155</v>
      </c>
      <c r="AH38" s="241">
        <f>SUM(AH20,AH36)</f>
        <v>20188080</v>
      </c>
      <c r="AJ38" s="296">
        <f>SUM(AJ20,AJ36)</f>
        <v>2916</v>
      </c>
      <c r="AK38" s="242">
        <f>ROUND((AL38/AJ38)/45,0)</f>
        <v>156</v>
      </c>
      <c r="AL38" s="241">
        <f>SUM(AL20,AL36)</f>
        <v>20416849.399999999</v>
      </c>
      <c r="AM38" s="295">
        <f>AL38-AH38</f>
        <v>228769.39999999851</v>
      </c>
      <c r="AO38" s="236">
        <f>(AR38-AJ38)/AJ38</f>
        <v>-2.2864608405781826E-2</v>
      </c>
      <c r="AP38" s="242"/>
      <c r="AQ38" s="234">
        <f>(AS38-AK38)/AK38</f>
        <v>5.128205128205128E-2</v>
      </c>
      <c r="AR38" s="233">
        <f>SUM(AR20,AR36)</f>
        <v>2849.3268018887402</v>
      </c>
      <c r="AS38" s="232">
        <f>ROUND((AT38/AR38)/45,0)</f>
        <v>164</v>
      </c>
      <c r="AT38" s="239">
        <f>SUM(AT20,AT36)</f>
        <v>20964233.476899095</v>
      </c>
      <c r="AV38" s="238">
        <f>AR38-AJ38</f>
        <v>-66.673198111259808</v>
      </c>
      <c r="AW38" s="237">
        <f>AT38-AL38</f>
        <v>547384.07689909637</v>
      </c>
      <c r="AY38" s="60">
        <v>0.1</v>
      </c>
      <c r="AZ38" s="72"/>
      <c r="BB38" s="236">
        <f>(BE38-AR38)/AR38</f>
        <v>-1.5959817265784488E-16</v>
      </c>
      <c r="BC38" s="242"/>
      <c r="BD38" s="234">
        <f>(BF38-AS38)/AS38</f>
        <v>3.048780487804878E-2</v>
      </c>
      <c r="BE38" s="233">
        <f>SUM(BE20,BE36)</f>
        <v>2849.3268018887397</v>
      </c>
      <c r="BF38" s="232">
        <f>ROUND((BG38/BE38)/45,0)</f>
        <v>169</v>
      </c>
      <c r="BG38" s="231">
        <f>SUM(BG20,BG36)</f>
        <v>21634638.676043708</v>
      </c>
      <c r="BI38" s="60"/>
      <c r="BJ38" s="72"/>
    </row>
    <row r="39" spans="1:62" x14ac:dyDescent="0.25">
      <c r="C39" s="188"/>
      <c r="D39" s="285"/>
      <c r="E39" s="280"/>
      <c r="F39" s="284"/>
      <c r="G39" s="285"/>
      <c r="H39" s="280"/>
      <c r="I39" s="284"/>
      <c r="J39" s="285"/>
      <c r="K39" s="280"/>
      <c r="L39" s="284"/>
      <c r="M39" s="280"/>
      <c r="N39" s="280"/>
      <c r="O39" s="279"/>
      <c r="P39" s="285"/>
      <c r="Q39" s="280"/>
      <c r="R39" s="282"/>
      <c r="S39" s="285"/>
      <c r="T39" s="280"/>
      <c r="U39" s="279"/>
      <c r="V39" s="294"/>
      <c r="W39" s="114"/>
      <c r="X39" s="126"/>
      <c r="Y39" s="115"/>
      <c r="Z39" s="114"/>
      <c r="AA39" s="126"/>
      <c r="AB39" s="115"/>
      <c r="AC39" s="114"/>
      <c r="AD39" s="126"/>
      <c r="AF39" s="122"/>
      <c r="AG39" s="214"/>
      <c r="AH39" s="261"/>
      <c r="AJ39" s="122"/>
      <c r="AK39" s="214"/>
      <c r="AL39" s="261"/>
      <c r="AO39" s="122"/>
      <c r="AP39" s="214"/>
      <c r="AQ39" s="214"/>
      <c r="AR39" s="117"/>
      <c r="AS39" s="74"/>
      <c r="AT39" s="260"/>
      <c r="AW39" s="80"/>
      <c r="BB39" s="122"/>
      <c r="BC39" s="214"/>
      <c r="BD39" s="214"/>
      <c r="BE39" s="117"/>
      <c r="BF39" s="74"/>
      <c r="BG39" s="127"/>
    </row>
    <row r="40" spans="1:62" x14ac:dyDescent="0.25">
      <c r="B40" s="91" t="s">
        <v>171</v>
      </c>
      <c r="C40" s="188"/>
      <c r="D40" s="285">
        <f>ROUND((F40/E40)/45,0)</f>
        <v>154</v>
      </c>
      <c r="E40" s="280">
        <f>E6*1.5</f>
        <v>144</v>
      </c>
      <c r="F40" s="284">
        <v>999655.37</v>
      </c>
      <c r="G40" s="285">
        <f>ROUND((I40/H40)/45,0)</f>
        <v>96</v>
      </c>
      <c r="H40" s="280">
        <f>ROUND(H6*1.5,0)</f>
        <v>158</v>
      </c>
      <c r="I40" s="284">
        <v>682952.99</v>
      </c>
      <c r="J40" s="285">
        <f>ROUND((L40/K40)/45,0)</f>
        <v>41</v>
      </c>
      <c r="K40" s="280">
        <f>ROUND(K6*1.5,0)</f>
        <v>171</v>
      </c>
      <c r="L40" s="284">
        <v>312855.53999999998</v>
      </c>
      <c r="M40" s="280">
        <f>ROUND((O40/N40)/45,0)</f>
        <v>7</v>
      </c>
      <c r="N40" s="280">
        <f>ROUND(N6*1.5,0)</f>
        <v>180</v>
      </c>
      <c r="O40" s="292">
        <v>57472.81</v>
      </c>
      <c r="P40" s="285">
        <f t="shared" ref="P40:P45" si="23">ROUND((R40/Q40)/45,0)</f>
        <v>0</v>
      </c>
      <c r="Q40" s="280">
        <f t="shared" ref="Q40:Q45" si="24">ROUND(Q6*1.5,0)</f>
        <v>188</v>
      </c>
      <c r="R40" s="293">
        <v>0</v>
      </c>
      <c r="S40" s="285">
        <f>ROUND((U40/T40)/45,0)</f>
        <v>117</v>
      </c>
      <c r="T40" s="280">
        <f>ROUND(T6*1.5,0)</f>
        <v>218</v>
      </c>
      <c r="U40" s="292">
        <v>1151809.57</v>
      </c>
      <c r="V40" s="115">
        <f>ROUND((X40/W40)/45,0)</f>
        <v>225</v>
      </c>
      <c r="W40" s="114">
        <f>ROUND(W6*1.5,0)</f>
        <v>222</v>
      </c>
      <c r="X40" s="123">
        <f>[1]WUE!N117</f>
        <v>2244023.960726887</v>
      </c>
      <c r="Y40" s="115">
        <f>ROUND((AA40/Z40)/45,0)</f>
        <v>268</v>
      </c>
      <c r="Z40" s="114">
        <v>222</v>
      </c>
      <c r="AA40" s="123">
        <v>2679832.25</v>
      </c>
      <c r="AB40" s="115">
        <f>ROUND((AD40/AC40)/45,0)</f>
        <v>341</v>
      </c>
      <c r="AC40" s="114">
        <f>ROUND(AC6*1.5,0)</f>
        <v>227</v>
      </c>
      <c r="AD40" s="123">
        <v>3483907.5076254872</v>
      </c>
      <c r="AF40" s="122">
        <v>323</v>
      </c>
      <c r="AG40" s="214">
        <v>233</v>
      </c>
      <c r="AH40" s="121">
        <v>3386655</v>
      </c>
      <c r="AJ40" s="122">
        <f>ROUND((AL40/AK40)/45,0)</f>
        <v>395</v>
      </c>
      <c r="AK40" s="214">
        <v>233</v>
      </c>
      <c r="AL40" s="121">
        <v>4138265.33</v>
      </c>
      <c r="AM40" s="80">
        <f>AL40-AH40</f>
        <v>751610.33000000007</v>
      </c>
      <c r="AO40" s="254">
        <v>-0.03</v>
      </c>
      <c r="AP40" s="214"/>
      <c r="AQ40" s="118">
        <f>(AS40-AK40)/AK40</f>
        <v>6.4377682403433473E-2</v>
      </c>
      <c r="AR40" s="117">
        <f>'[1]Tuition Analysis Trend'!O22*(1+AO40)</f>
        <v>404.24889062329521</v>
      </c>
      <c r="AS40" s="74">
        <f>ROUND(AS6*1.5,0)</f>
        <v>248</v>
      </c>
      <c r="AT40" s="120">
        <f>AS40*AR40*45</f>
        <v>4511417.6193559747</v>
      </c>
      <c r="AU40" s="86"/>
      <c r="AV40" s="64">
        <f>AR40-AJ40</f>
        <v>9.2488906232952104</v>
      </c>
      <c r="AW40" s="80">
        <f>AT40-AL40</f>
        <v>373152.28935597464</v>
      </c>
      <c r="AY40" s="60">
        <v>0.1</v>
      </c>
      <c r="AZ40" s="72"/>
      <c r="BB40" s="254">
        <f>'[1]10-yr Projection'!D88</f>
        <v>0</v>
      </c>
      <c r="BC40" s="214"/>
      <c r="BD40" s="118">
        <f>(BF40-AS40)/AS40</f>
        <v>2.8225806451612902E-2</v>
      </c>
      <c r="BE40" s="117">
        <f>'[1]Tuition Analysis Trend'!Q22*(1+BB40)</f>
        <v>429.62431192902216</v>
      </c>
      <c r="BF40" s="74">
        <f>BF6*1.5</f>
        <v>255</v>
      </c>
      <c r="BG40" s="116">
        <f>BF40*BE40*45</f>
        <v>4929938.9793855296</v>
      </c>
      <c r="BH40" s="86"/>
      <c r="BJ40" s="72"/>
    </row>
    <row r="41" spans="1:62" ht="15.75" customHeight="1" x14ac:dyDescent="0.25">
      <c r="B41" s="91" t="s">
        <v>168</v>
      </c>
      <c r="C41" s="188">
        <v>2007</v>
      </c>
      <c r="D41" s="285">
        <f>ROUND((F41/E41)/45,0)</f>
        <v>167</v>
      </c>
      <c r="E41" s="280">
        <f>ROUND(E7*1.5,0)</f>
        <v>158</v>
      </c>
      <c r="F41" s="284">
        <v>1186554.7</v>
      </c>
      <c r="G41" s="285">
        <f>ROUND((I41/H41)/45,0)</f>
        <v>121</v>
      </c>
      <c r="H41" s="280">
        <f>ROUND(H7*1.5,0)</f>
        <v>158</v>
      </c>
      <c r="I41" s="284">
        <v>857799.36</v>
      </c>
      <c r="J41" s="285">
        <f>ROUND((L41/K41)/45,0)</f>
        <v>85</v>
      </c>
      <c r="K41" s="280">
        <f>ROUND(K7*1.5,0)</f>
        <v>158</v>
      </c>
      <c r="L41" s="284">
        <v>606128.06000000006</v>
      </c>
      <c r="M41" s="280">
        <f>ROUND((O41/N41)/45,0)</f>
        <v>50</v>
      </c>
      <c r="N41" s="280">
        <f>ROUND(N7*1.5,0)</f>
        <v>158</v>
      </c>
      <c r="O41" s="283">
        <v>355369.3</v>
      </c>
      <c r="P41" s="285">
        <f t="shared" si="23"/>
        <v>1</v>
      </c>
      <c r="Q41" s="280">
        <f t="shared" si="24"/>
        <v>158</v>
      </c>
      <c r="R41" s="282">
        <v>4823.84</v>
      </c>
      <c r="S41" s="285"/>
      <c r="T41" s="280"/>
      <c r="U41" s="279"/>
      <c r="V41" s="115"/>
      <c r="W41" s="114"/>
      <c r="X41" s="123"/>
      <c r="Y41" s="115"/>
      <c r="Z41" s="114"/>
      <c r="AA41" s="123">
        <v>0</v>
      </c>
      <c r="AB41" s="115"/>
      <c r="AC41" s="114"/>
      <c r="AD41" s="123"/>
      <c r="AF41" s="122"/>
      <c r="AG41" s="214"/>
      <c r="AH41" s="121"/>
      <c r="AJ41" s="122"/>
      <c r="AK41" s="214"/>
      <c r="AL41" s="121"/>
      <c r="AO41" s="122"/>
      <c r="AP41" s="214"/>
      <c r="AQ41" s="214"/>
      <c r="AR41" s="117"/>
      <c r="AS41" s="74"/>
      <c r="AT41" s="120"/>
      <c r="AW41" s="80"/>
      <c r="BB41" s="122"/>
      <c r="BC41" s="214"/>
      <c r="BD41" s="214"/>
      <c r="BE41" s="117"/>
      <c r="BF41" s="74"/>
      <c r="BG41" s="116"/>
    </row>
    <row r="42" spans="1:62" ht="15.75" customHeight="1" x14ac:dyDescent="0.25">
      <c r="B42" s="91" t="s">
        <v>167</v>
      </c>
      <c r="C42" s="188">
        <v>2008</v>
      </c>
      <c r="D42" s="285"/>
      <c r="E42" s="280"/>
      <c r="F42" s="284"/>
      <c r="G42" s="285">
        <f>ROUND((I42/H42)/45,0)</f>
        <v>169</v>
      </c>
      <c r="H42" s="280">
        <f>ROUND(H8*1.5,0)</f>
        <v>173</v>
      </c>
      <c r="I42" s="284">
        <v>1314239.21</v>
      </c>
      <c r="J42" s="285">
        <f>ROUND((L42/K42)/45,0)</f>
        <v>131</v>
      </c>
      <c r="K42" s="280">
        <f>ROUND(K8*1.5,0)</f>
        <v>173</v>
      </c>
      <c r="L42" s="284">
        <v>1022380.57</v>
      </c>
      <c r="M42" s="280">
        <f>ROUND((O42/N42)/45,0)</f>
        <v>99</v>
      </c>
      <c r="N42" s="280">
        <f>ROUND(N8*1.5,0)</f>
        <v>173</v>
      </c>
      <c r="O42" s="283">
        <v>772295.43</v>
      </c>
      <c r="P42" s="285">
        <f t="shared" si="23"/>
        <v>67</v>
      </c>
      <c r="Q42" s="280">
        <f t="shared" si="24"/>
        <v>173</v>
      </c>
      <c r="R42" s="293">
        <v>520915.1</v>
      </c>
      <c r="S42" s="285">
        <f>ROUND((U42/T42)/45,0)</f>
        <v>0</v>
      </c>
      <c r="T42" s="280">
        <v>173</v>
      </c>
      <c r="U42" s="279">
        <v>2125.09</v>
      </c>
      <c r="V42" s="115"/>
      <c r="W42" s="114"/>
      <c r="X42" s="123"/>
      <c r="Y42" s="115"/>
      <c r="Z42" s="114"/>
      <c r="AA42" s="123">
        <v>0</v>
      </c>
      <c r="AB42" s="115"/>
      <c r="AC42" s="114"/>
      <c r="AD42" s="123"/>
      <c r="AF42" s="122"/>
      <c r="AG42" s="214"/>
      <c r="AH42" s="121"/>
      <c r="AJ42" s="122"/>
      <c r="AK42" s="214"/>
      <c r="AL42" s="121">
        <v>0</v>
      </c>
      <c r="AM42" s="80">
        <f t="shared" ref="AM42:AM50" si="25">AL42-AH42</f>
        <v>0</v>
      </c>
      <c r="AO42" s="122"/>
      <c r="AP42" s="214"/>
      <c r="AQ42" s="214"/>
      <c r="AR42" s="117"/>
      <c r="AS42" s="74"/>
      <c r="AT42" s="120"/>
      <c r="AW42" s="80"/>
      <c r="BB42" s="122"/>
      <c r="BC42" s="214"/>
      <c r="BD42" s="214"/>
      <c r="BE42" s="117"/>
      <c r="BF42" s="74"/>
      <c r="BG42" s="116"/>
    </row>
    <row r="43" spans="1:62" x14ac:dyDescent="0.25">
      <c r="B43" s="91" t="s">
        <v>167</v>
      </c>
      <c r="C43" s="188">
        <v>2009</v>
      </c>
      <c r="D43" s="285"/>
      <c r="E43" s="280"/>
      <c r="F43" s="284"/>
      <c r="G43" s="285"/>
      <c r="H43" s="280"/>
      <c r="I43" s="284"/>
      <c r="J43" s="285">
        <f>ROUND((L43/K43)/45,0)</f>
        <v>177</v>
      </c>
      <c r="K43" s="280">
        <f>ROUND(K9*1.5,0)</f>
        <v>188</v>
      </c>
      <c r="L43" s="284">
        <v>1494561.93</v>
      </c>
      <c r="M43" s="280">
        <f>ROUND((O43/N43)/45,0)</f>
        <v>141</v>
      </c>
      <c r="N43" s="280">
        <f>ROUND(N9*1.5,0)</f>
        <v>188</v>
      </c>
      <c r="O43" s="283">
        <v>1191332.56</v>
      </c>
      <c r="P43" s="285">
        <f t="shared" si="23"/>
        <v>106</v>
      </c>
      <c r="Q43" s="280">
        <f t="shared" si="24"/>
        <v>188</v>
      </c>
      <c r="R43" s="293">
        <v>894726.68</v>
      </c>
      <c r="S43" s="285">
        <f>ROUND((U43/T43)/45,0)</f>
        <v>82</v>
      </c>
      <c r="T43" s="280">
        <f>ROUND(T9*1.5,0)</f>
        <v>188</v>
      </c>
      <c r="U43" s="292">
        <v>691700.95</v>
      </c>
      <c r="V43" s="115">
        <f>ROUND((X43/W43)/45,0)</f>
        <v>1</v>
      </c>
      <c r="W43" s="114">
        <f>ROUND(W9*1.5,0)</f>
        <v>188</v>
      </c>
      <c r="X43" s="123">
        <f>[1]WUE!N112</f>
        <v>7754.0792728609058</v>
      </c>
      <c r="Y43" s="115"/>
      <c r="Z43" s="114"/>
      <c r="AA43" s="123">
        <v>0</v>
      </c>
      <c r="AB43" s="115"/>
      <c r="AC43" s="114"/>
      <c r="AD43" s="123"/>
      <c r="AF43" s="122"/>
      <c r="AG43" s="214"/>
      <c r="AH43" s="121"/>
      <c r="AJ43" s="122"/>
      <c r="AK43" s="214"/>
      <c r="AL43" s="121">
        <v>0</v>
      </c>
      <c r="AM43" s="80">
        <f t="shared" si="25"/>
        <v>0</v>
      </c>
      <c r="AO43" s="122"/>
      <c r="AP43" s="214"/>
      <c r="AQ43" s="214"/>
      <c r="AR43" s="117"/>
      <c r="AS43" s="74"/>
      <c r="AT43" s="120"/>
      <c r="AW43" s="80"/>
      <c r="BB43" s="122"/>
      <c r="BC43" s="214"/>
      <c r="BD43" s="214"/>
      <c r="BE43" s="117"/>
      <c r="BF43" s="74"/>
      <c r="BG43" s="116"/>
    </row>
    <row r="44" spans="1:62" x14ac:dyDescent="0.25">
      <c r="B44" s="91" t="s">
        <v>167</v>
      </c>
      <c r="C44" s="188">
        <v>2010</v>
      </c>
      <c r="D44" s="285"/>
      <c r="E44" s="280"/>
      <c r="F44" s="284"/>
      <c r="G44" s="285"/>
      <c r="H44" s="280"/>
      <c r="I44" s="284"/>
      <c r="J44" s="285"/>
      <c r="K44" s="280"/>
      <c r="L44" s="284"/>
      <c r="M44" s="280">
        <f>ROUND((O44/N44)/45,0)</f>
        <v>179</v>
      </c>
      <c r="N44" s="280">
        <f>ROUND(N10*1.5,0)</f>
        <v>204</v>
      </c>
      <c r="O44" s="283">
        <v>1647771.76</v>
      </c>
      <c r="P44" s="285">
        <f t="shared" si="23"/>
        <v>142</v>
      </c>
      <c r="Q44" s="280">
        <f t="shared" si="24"/>
        <v>204</v>
      </c>
      <c r="R44" s="293">
        <v>1307596.42</v>
      </c>
      <c r="S44" s="285">
        <f>ROUND((U44/T44)/45,0)</f>
        <v>97</v>
      </c>
      <c r="T44" s="280">
        <f>ROUND(T10*1.5,0)</f>
        <v>204</v>
      </c>
      <c r="U44" s="292">
        <v>890500.85</v>
      </c>
      <c r="V44" s="115">
        <f>ROUND((X44/W44)/45,0)</f>
        <v>83</v>
      </c>
      <c r="W44" s="114">
        <f>ROUND(W10*1.5,0)</f>
        <v>204</v>
      </c>
      <c r="X44" s="123">
        <f>[1]WUE!N113</f>
        <v>758470.49275717337</v>
      </c>
      <c r="Y44" s="115">
        <f>ROUND((AA44/Z44)/45,0)</f>
        <v>1</v>
      </c>
      <c r="Z44" s="114">
        <v>204</v>
      </c>
      <c r="AA44" s="123">
        <v>6435.09</v>
      </c>
      <c r="AB44" s="115">
        <f t="shared" ref="AB44:AB49" si="26">ROUND((AD44/AC44)/45,0)</f>
        <v>0</v>
      </c>
      <c r="AC44" s="114">
        <f t="shared" ref="AC44:AC49" si="27">ROUND(AC10*1.5,0)</f>
        <v>204</v>
      </c>
      <c r="AD44" s="123">
        <v>0</v>
      </c>
      <c r="AF44" s="122">
        <v>0</v>
      </c>
      <c r="AG44" s="214">
        <v>204</v>
      </c>
      <c r="AH44" s="121">
        <v>0</v>
      </c>
      <c r="AJ44" s="122">
        <f t="shared" ref="AJ44:AJ50" si="28">ROUND((AL44/AK44)/45,0)</f>
        <v>0</v>
      </c>
      <c r="AK44" s="214">
        <v>204</v>
      </c>
      <c r="AL44" s="121">
        <v>0</v>
      </c>
      <c r="AM44" s="80">
        <f t="shared" si="25"/>
        <v>0</v>
      </c>
      <c r="AO44" s="275"/>
      <c r="AP44" s="214"/>
      <c r="AQ44" s="214"/>
      <c r="AR44" s="117"/>
      <c r="AS44" s="74">
        <f t="shared" ref="AS44:AS51" si="29">ROUND(AS10*1.5,0)</f>
        <v>204</v>
      </c>
      <c r="AT44" s="120">
        <f t="shared" ref="AT44:AT51" si="30">AS44*AR44*45</f>
        <v>0</v>
      </c>
      <c r="AV44" s="64">
        <f t="shared" ref="AV44:AV50" si="31">AR44-AJ44</f>
        <v>0</v>
      </c>
      <c r="AW44" s="80">
        <f t="shared" ref="AW44:AW50" si="32">AT44-AL44</f>
        <v>0</v>
      </c>
      <c r="AY44" s="60">
        <v>0.1</v>
      </c>
      <c r="AZ44" s="72"/>
      <c r="BB44" s="275"/>
      <c r="BC44" s="214"/>
      <c r="BD44" s="214"/>
      <c r="BE44" s="117"/>
      <c r="BF44" s="74"/>
      <c r="BG44" s="116"/>
      <c r="BJ44" s="72"/>
    </row>
    <row r="45" spans="1:62" x14ac:dyDescent="0.25">
      <c r="B45" s="91" t="s">
        <v>167</v>
      </c>
      <c r="C45" s="188">
        <v>2011</v>
      </c>
      <c r="D45" s="285"/>
      <c r="E45" s="280"/>
      <c r="F45" s="284"/>
      <c r="G45" s="285"/>
      <c r="H45" s="280"/>
      <c r="I45" s="284"/>
      <c r="J45" s="285"/>
      <c r="K45" s="280"/>
      <c r="L45" s="284"/>
      <c r="M45" s="280"/>
      <c r="N45" s="280"/>
      <c r="O45" s="283"/>
      <c r="P45" s="285">
        <f t="shared" si="23"/>
        <v>175</v>
      </c>
      <c r="Q45" s="280">
        <f t="shared" si="24"/>
        <v>215</v>
      </c>
      <c r="R45" s="293">
        <v>1695232.38</v>
      </c>
      <c r="S45" s="285">
        <f>ROUND((U45/T45)/45,0)</f>
        <v>141</v>
      </c>
      <c r="T45" s="280">
        <f>ROUND(T11*1.5,0)</f>
        <v>215</v>
      </c>
      <c r="U45" s="292">
        <v>1360168.25</v>
      </c>
      <c r="V45" s="115">
        <f>ROUND((X45/W45)/45,0)</f>
        <v>100</v>
      </c>
      <c r="W45" s="114">
        <f>ROUND(W11*1.5,0)</f>
        <v>215</v>
      </c>
      <c r="X45" s="123">
        <f>[1]WUE!N114</f>
        <v>966976.15230280964</v>
      </c>
      <c r="Y45" s="115">
        <f>ROUND((AA45/Z45)/45,0)</f>
        <v>88</v>
      </c>
      <c r="Z45" s="114">
        <v>215</v>
      </c>
      <c r="AA45" s="123">
        <v>851911.04</v>
      </c>
      <c r="AB45" s="115">
        <f t="shared" si="26"/>
        <v>1</v>
      </c>
      <c r="AC45" s="114">
        <f t="shared" si="27"/>
        <v>215</v>
      </c>
      <c r="AD45" s="123">
        <v>8360.4071454801724</v>
      </c>
      <c r="AF45" s="122">
        <v>0</v>
      </c>
      <c r="AG45" s="214">
        <v>215</v>
      </c>
      <c r="AH45" s="121">
        <v>0</v>
      </c>
      <c r="AJ45" s="122">
        <f t="shared" si="28"/>
        <v>0</v>
      </c>
      <c r="AK45" s="214">
        <v>215</v>
      </c>
      <c r="AL45" s="121">
        <v>0</v>
      </c>
      <c r="AM45" s="80">
        <f t="shared" si="25"/>
        <v>0</v>
      </c>
      <c r="AO45" s="275"/>
      <c r="AP45" s="214"/>
      <c r="AQ45" s="214"/>
      <c r="AR45" s="117"/>
      <c r="AS45" s="74">
        <f t="shared" si="29"/>
        <v>215</v>
      </c>
      <c r="AT45" s="120">
        <f t="shared" si="30"/>
        <v>0</v>
      </c>
      <c r="AV45" s="64">
        <f t="shared" si="31"/>
        <v>0</v>
      </c>
      <c r="AW45" s="80">
        <f t="shared" si="32"/>
        <v>0</v>
      </c>
      <c r="AY45" s="60">
        <v>0.1</v>
      </c>
      <c r="AZ45" s="72"/>
      <c r="BB45" s="275"/>
      <c r="BC45" s="214"/>
      <c r="BD45" s="214"/>
      <c r="BE45" s="117"/>
      <c r="BF45" s="74"/>
      <c r="BG45" s="116"/>
      <c r="BJ45" s="72"/>
    </row>
    <row r="46" spans="1:62" x14ac:dyDescent="0.25">
      <c r="B46" s="91" t="s">
        <v>167</v>
      </c>
      <c r="C46" s="188">
        <v>2012</v>
      </c>
      <c r="D46" s="285"/>
      <c r="E46" s="280"/>
      <c r="F46" s="284"/>
      <c r="G46" s="285"/>
      <c r="H46" s="280"/>
      <c r="I46" s="284"/>
      <c r="J46" s="285"/>
      <c r="K46" s="280"/>
      <c r="L46" s="284"/>
      <c r="M46" s="280"/>
      <c r="N46" s="280"/>
      <c r="O46" s="283"/>
      <c r="P46" s="285"/>
      <c r="Q46" s="280"/>
      <c r="R46" s="282"/>
      <c r="S46" s="285">
        <f>ROUND((U46/T46)/45,0)</f>
        <v>110</v>
      </c>
      <c r="T46" s="280">
        <f>ROUND(T12*1.5,0)</f>
        <v>236</v>
      </c>
      <c r="U46" s="292">
        <v>1172494.3500000001</v>
      </c>
      <c r="V46" s="115">
        <f>ROUND((X46/W46)/45,0)</f>
        <v>82</v>
      </c>
      <c r="W46" s="114">
        <f>ROUND(W12*1.5,0)</f>
        <v>236</v>
      </c>
      <c r="X46" s="123">
        <f>[1]WUE!N115</f>
        <v>871395.6345028478</v>
      </c>
      <c r="Y46" s="115">
        <f>ROUND((AA46/Z46)/45,0)</f>
        <v>63</v>
      </c>
      <c r="Z46" s="114">
        <v>236</v>
      </c>
      <c r="AA46" s="123">
        <v>664947.79</v>
      </c>
      <c r="AB46" s="115">
        <f t="shared" si="26"/>
        <v>62</v>
      </c>
      <c r="AC46" s="114">
        <f t="shared" si="27"/>
        <v>236</v>
      </c>
      <c r="AD46" s="123">
        <v>658766.60469069984</v>
      </c>
      <c r="AF46" s="122">
        <v>1</v>
      </c>
      <c r="AG46" s="214">
        <v>236</v>
      </c>
      <c r="AH46" s="121">
        <v>10620</v>
      </c>
      <c r="AJ46" s="122">
        <f t="shared" si="28"/>
        <v>1</v>
      </c>
      <c r="AK46" s="214">
        <v>236</v>
      </c>
      <c r="AL46" s="121">
        <v>5327.32</v>
      </c>
      <c r="AM46" s="80">
        <f t="shared" si="25"/>
        <v>-5292.68</v>
      </c>
      <c r="AO46" s="275"/>
      <c r="AP46" s="214"/>
      <c r="AQ46" s="214"/>
      <c r="AR46" s="117"/>
      <c r="AS46" s="74">
        <f t="shared" si="29"/>
        <v>236</v>
      </c>
      <c r="AT46" s="120">
        <f t="shared" si="30"/>
        <v>0</v>
      </c>
      <c r="AV46" s="64">
        <f t="shared" si="31"/>
        <v>-1</v>
      </c>
      <c r="AW46" s="80">
        <f t="shared" si="32"/>
        <v>-5327.32</v>
      </c>
      <c r="AY46" s="60">
        <v>0.1</v>
      </c>
      <c r="AZ46" s="72"/>
      <c r="BB46" s="275"/>
      <c r="BC46" s="214"/>
      <c r="BD46" s="214"/>
      <c r="BE46" s="117"/>
      <c r="BF46" s="74"/>
      <c r="BG46" s="116"/>
      <c r="BJ46" s="72"/>
    </row>
    <row r="47" spans="1:62" x14ac:dyDescent="0.25">
      <c r="B47" s="91" t="s">
        <v>167</v>
      </c>
      <c r="C47" s="188">
        <v>2013</v>
      </c>
      <c r="D47" s="285"/>
      <c r="E47" s="280"/>
      <c r="F47" s="284"/>
      <c r="G47" s="285"/>
      <c r="H47" s="280"/>
      <c r="I47" s="284"/>
      <c r="J47" s="285"/>
      <c r="K47" s="280"/>
      <c r="L47" s="284"/>
      <c r="M47" s="280"/>
      <c r="N47" s="280"/>
      <c r="O47" s="283"/>
      <c r="P47" s="285"/>
      <c r="Q47" s="280"/>
      <c r="R47" s="282"/>
      <c r="S47" s="285"/>
      <c r="T47" s="280"/>
      <c r="U47" s="279"/>
      <c r="V47" s="115">
        <f>ROUND((X47/W47)/45,0)</f>
        <v>107</v>
      </c>
      <c r="W47" s="114">
        <f>ROUND(W13*1.5,0)</f>
        <v>246</v>
      </c>
      <c r="X47" s="123">
        <f>[1]WUE!N116</f>
        <v>1185353.0704374216</v>
      </c>
      <c r="Y47" s="115">
        <f>ROUND((AA47/Z47)/45,0)</f>
        <v>72</v>
      </c>
      <c r="Z47" s="114">
        <v>246</v>
      </c>
      <c r="AA47" s="123">
        <v>802495.38</v>
      </c>
      <c r="AB47" s="115">
        <f t="shared" si="26"/>
        <v>59</v>
      </c>
      <c r="AC47" s="114">
        <f t="shared" si="27"/>
        <v>246</v>
      </c>
      <c r="AD47" s="123">
        <v>656450.67698796582</v>
      </c>
      <c r="AF47" s="122">
        <v>62</v>
      </c>
      <c r="AG47" s="214">
        <v>246</v>
      </c>
      <c r="AH47" s="121">
        <v>686340</v>
      </c>
      <c r="AJ47" s="122">
        <f t="shared" si="28"/>
        <v>56</v>
      </c>
      <c r="AK47" s="214">
        <v>246</v>
      </c>
      <c r="AL47" s="121">
        <v>617532.98</v>
      </c>
      <c r="AM47" s="80">
        <f t="shared" si="25"/>
        <v>-68807.020000000019</v>
      </c>
      <c r="AO47" s="275"/>
      <c r="AP47" s="214"/>
      <c r="AQ47" s="214"/>
      <c r="AR47" s="117">
        <f>'[1]Tuition Analysis Trend'!O29*(1+AO47)</f>
        <v>0.77849731520316112</v>
      </c>
      <c r="AS47" s="74">
        <f t="shared" si="29"/>
        <v>246</v>
      </c>
      <c r="AT47" s="120">
        <f t="shared" si="30"/>
        <v>8617.9652792989928</v>
      </c>
      <c r="AV47" s="64">
        <f t="shared" si="31"/>
        <v>-55.221502684796839</v>
      </c>
      <c r="AW47" s="80">
        <f t="shared" si="32"/>
        <v>-608915.01472070103</v>
      </c>
      <c r="AY47" s="60">
        <v>0.1</v>
      </c>
      <c r="AZ47" s="72"/>
      <c r="BB47" s="275"/>
      <c r="BC47" s="214"/>
      <c r="BD47" s="214"/>
      <c r="BE47" s="117">
        <f>'[1]Tuition Analysis Trend'!Q29*(1+BB47)</f>
        <v>0</v>
      </c>
      <c r="BF47" s="74">
        <f t="shared" ref="BF47:BF52" si="33">BF13*1.5</f>
        <v>0</v>
      </c>
      <c r="BG47" s="116">
        <f t="shared" ref="BG47:BG52" si="34">BF47*BE47*45</f>
        <v>0</v>
      </c>
      <c r="BJ47" s="72"/>
    </row>
    <row r="48" spans="1:62" x14ac:dyDescent="0.25">
      <c r="B48" s="91" t="s">
        <v>167</v>
      </c>
      <c r="C48" s="188">
        <v>2014</v>
      </c>
      <c r="D48" s="285"/>
      <c r="E48" s="280"/>
      <c r="F48" s="284"/>
      <c r="G48" s="285"/>
      <c r="H48" s="280"/>
      <c r="I48" s="284"/>
      <c r="J48" s="285"/>
      <c r="K48" s="280"/>
      <c r="L48" s="284"/>
      <c r="M48" s="280"/>
      <c r="N48" s="280"/>
      <c r="O48" s="283"/>
      <c r="P48" s="285"/>
      <c r="Q48" s="280"/>
      <c r="R48" s="282"/>
      <c r="S48" s="285"/>
      <c r="T48" s="280"/>
      <c r="U48" s="279"/>
      <c r="V48" s="115"/>
      <c r="W48" s="114"/>
      <c r="X48" s="126"/>
      <c r="Y48" s="115">
        <f>ROUND((AA48/Z48)/45,0)</f>
        <v>89</v>
      </c>
      <c r="Z48" s="114">
        <v>252</v>
      </c>
      <c r="AA48" s="123">
        <v>1006322.79</v>
      </c>
      <c r="AB48" s="115">
        <f t="shared" si="26"/>
        <v>65</v>
      </c>
      <c r="AC48" s="114">
        <f t="shared" si="27"/>
        <v>252</v>
      </c>
      <c r="AD48" s="123">
        <v>740411.98718051845</v>
      </c>
      <c r="AF48" s="122">
        <v>59</v>
      </c>
      <c r="AG48" s="214">
        <v>252</v>
      </c>
      <c r="AH48" s="121">
        <v>669060</v>
      </c>
      <c r="AJ48" s="122">
        <f t="shared" si="28"/>
        <v>52</v>
      </c>
      <c r="AK48" s="214">
        <v>252</v>
      </c>
      <c r="AL48" s="121">
        <v>586418.27</v>
      </c>
      <c r="AM48" s="80">
        <f t="shared" si="25"/>
        <v>-82641.729999999981</v>
      </c>
      <c r="AO48" s="275"/>
      <c r="AP48" s="214"/>
      <c r="AQ48" s="214"/>
      <c r="AR48" s="117">
        <f>'[1]Tuition Analysis Trend'!O30*(1+AO48)</f>
        <v>50.265267688996502</v>
      </c>
      <c r="AS48" s="74">
        <f t="shared" si="29"/>
        <v>252</v>
      </c>
      <c r="AT48" s="120">
        <f t="shared" si="30"/>
        <v>570008.13559322036</v>
      </c>
      <c r="AV48" s="64">
        <f t="shared" si="31"/>
        <v>-1.7347323110034978</v>
      </c>
      <c r="AW48" s="80">
        <f t="shared" si="32"/>
        <v>-16410.13440677966</v>
      </c>
      <c r="AY48" s="60">
        <v>0.1</v>
      </c>
      <c r="AZ48" s="72"/>
      <c r="BB48" s="275"/>
      <c r="BC48" s="214"/>
      <c r="BD48" s="214"/>
      <c r="BE48" s="117">
        <f>'[1]Tuition Analysis Trend'!Q30*(1+BB48)</f>
        <v>0.6987745704259325</v>
      </c>
      <c r="BF48" s="74">
        <f t="shared" si="33"/>
        <v>252</v>
      </c>
      <c r="BG48" s="116">
        <f t="shared" si="34"/>
        <v>7924.1036286300741</v>
      </c>
      <c r="BJ48" s="72"/>
    </row>
    <row r="49" spans="2:62" x14ac:dyDescent="0.25">
      <c r="B49" s="91" t="s">
        <v>167</v>
      </c>
      <c r="C49" s="188">
        <v>2015</v>
      </c>
      <c r="D49" s="285"/>
      <c r="E49" s="280"/>
      <c r="F49" s="284"/>
      <c r="G49" s="285"/>
      <c r="H49" s="280"/>
      <c r="I49" s="284"/>
      <c r="J49" s="285"/>
      <c r="K49" s="280"/>
      <c r="L49" s="284"/>
      <c r="M49" s="280"/>
      <c r="N49" s="280"/>
      <c r="O49" s="283"/>
      <c r="P49" s="285"/>
      <c r="Q49" s="280"/>
      <c r="R49" s="282"/>
      <c r="S49" s="285"/>
      <c r="T49" s="280"/>
      <c r="U49" s="279"/>
      <c r="V49" s="115"/>
      <c r="W49" s="114"/>
      <c r="X49" s="126"/>
      <c r="Y49" s="115"/>
      <c r="Z49" s="114"/>
      <c r="AA49" s="126"/>
      <c r="AB49" s="115">
        <f t="shared" si="26"/>
        <v>73</v>
      </c>
      <c r="AC49" s="114">
        <f t="shared" si="27"/>
        <v>258</v>
      </c>
      <c r="AD49" s="126">
        <v>852069.50636984862</v>
      </c>
      <c r="AF49" s="122">
        <v>65</v>
      </c>
      <c r="AG49" s="214">
        <v>258</v>
      </c>
      <c r="AH49" s="121">
        <v>754650</v>
      </c>
      <c r="AJ49" s="122">
        <f t="shared" si="28"/>
        <v>48</v>
      </c>
      <c r="AK49" s="214">
        <v>258</v>
      </c>
      <c r="AL49" s="121">
        <v>559430.12</v>
      </c>
      <c r="AM49" s="80">
        <f t="shared" si="25"/>
        <v>-195219.88</v>
      </c>
      <c r="AO49" s="275"/>
      <c r="AP49" s="214"/>
      <c r="AQ49" s="118"/>
      <c r="AR49" s="117">
        <f>'[1]Tuition Analysis Trend'!O31*(1+AO49)</f>
        <v>35.940198938427947</v>
      </c>
      <c r="AS49" s="74">
        <f t="shared" si="29"/>
        <v>258</v>
      </c>
      <c r="AT49" s="120">
        <f t="shared" si="30"/>
        <v>417265.70967514848</v>
      </c>
      <c r="AU49" s="86"/>
      <c r="AV49" s="64">
        <f t="shared" si="31"/>
        <v>-12.059801061572053</v>
      </c>
      <c r="AW49" s="80">
        <f t="shared" si="32"/>
        <v>-142164.41032485152</v>
      </c>
      <c r="AY49" s="60">
        <v>0.1</v>
      </c>
      <c r="AZ49" s="72"/>
      <c r="BB49" s="275"/>
      <c r="BC49" s="214"/>
      <c r="BD49" s="118"/>
      <c r="BE49" s="117">
        <f>'[1]Tuition Analysis Trend'!Q31*(1+BB49)</f>
        <v>34.741225392997478</v>
      </c>
      <c r="BF49" s="74">
        <f t="shared" si="33"/>
        <v>258</v>
      </c>
      <c r="BG49" s="116">
        <f t="shared" si="34"/>
        <v>403345.62681270076</v>
      </c>
      <c r="BH49" s="86"/>
      <c r="BJ49" s="72"/>
    </row>
    <row r="50" spans="2:62" x14ac:dyDescent="0.25">
      <c r="B50" s="91" t="s">
        <v>167</v>
      </c>
      <c r="C50" s="188">
        <v>2016</v>
      </c>
      <c r="D50" s="285"/>
      <c r="E50" s="280"/>
      <c r="F50" s="284"/>
      <c r="G50" s="285"/>
      <c r="H50" s="280"/>
      <c r="I50" s="284"/>
      <c r="J50" s="285"/>
      <c r="K50" s="280"/>
      <c r="L50" s="284"/>
      <c r="M50" s="280"/>
      <c r="N50" s="280"/>
      <c r="O50" s="283"/>
      <c r="P50" s="285"/>
      <c r="Q50" s="280"/>
      <c r="R50" s="282"/>
      <c r="S50" s="285"/>
      <c r="T50" s="280"/>
      <c r="U50" s="279"/>
      <c r="V50" s="115"/>
      <c r="W50" s="114"/>
      <c r="X50" s="126"/>
      <c r="Y50" s="115"/>
      <c r="Z50" s="114"/>
      <c r="AA50" s="126"/>
      <c r="AB50" s="115"/>
      <c r="AC50" s="114"/>
      <c r="AD50" s="126"/>
      <c r="AF50" s="122">
        <v>69</v>
      </c>
      <c r="AG50" s="214">
        <v>272</v>
      </c>
      <c r="AH50" s="121">
        <v>844560</v>
      </c>
      <c r="AJ50" s="122">
        <f t="shared" si="28"/>
        <v>83</v>
      </c>
      <c r="AK50" s="214">
        <v>272</v>
      </c>
      <c r="AL50" s="121">
        <v>1011150.85</v>
      </c>
      <c r="AM50" s="80">
        <f t="shared" si="25"/>
        <v>166590.84999999998</v>
      </c>
      <c r="AO50" s="275"/>
      <c r="AP50" s="214"/>
      <c r="AQ50" s="118"/>
      <c r="AR50" s="117">
        <f>'[1]Tuition Analysis Trend'!O32*(1+AO50)</f>
        <v>62.706584993627573</v>
      </c>
      <c r="AS50" s="74">
        <f t="shared" si="29"/>
        <v>272</v>
      </c>
      <c r="AT50" s="120">
        <f t="shared" si="30"/>
        <v>767528.6003220015</v>
      </c>
      <c r="AU50" s="86"/>
      <c r="AV50" s="64">
        <f t="shared" si="31"/>
        <v>-20.293415006372427</v>
      </c>
      <c r="AW50" s="80">
        <f t="shared" si="32"/>
        <v>-243622.24967799848</v>
      </c>
      <c r="AY50" s="60">
        <v>0.1</v>
      </c>
      <c r="AZ50" s="72"/>
      <c r="BB50" s="275"/>
      <c r="BC50" s="214"/>
      <c r="BD50" s="118"/>
      <c r="BE50" s="117">
        <f>'[1]Tuition Analysis Trend'!Q32*(1+BB50)</f>
        <v>46.95181540459199</v>
      </c>
      <c r="BF50" s="74">
        <f t="shared" si="33"/>
        <v>271.5</v>
      </c>
      <c r="BG50" s="116">
        <f t="shared" si="34"/>
        <v>573633.80470560258</v>
      </c>
      <c r="BH50" s="86"/>
      <c r="BJ50" s="72"/>
    </row>
    <row r="51" spans="2:62" x14ac:dyDescent="0.25">
      <c r="B51" s="91" t="s">
        <v>167</v>
      </c>
      <c r="C51" s="188">
        <v>2017</v>
      </c>
      <c r="D51" s="285"/>
      <c r="E51" s="280"/>
      <c r="F51" s="284"/>
      <c r="G51" s="285"/>
      <c r="H51" s="280"/>
      <c r="I51" s="284"/>
      <c r="J51" s="285"/>
      <c r="K51" s="280"/>
      <c r="L51" s="284"/>
      <c r="M51" s="280"/>
      <c r="N51" s="280"/>
      <c r="O51" s="283"/>
      <c r="P51" s="285"/>
      <c r="Q51" s="280"/>
      <c r="R51" s="282"/>
      <c r="S51" s="285"/>
      <c r="T51" s="280"/>
      <c r="U51" s="279"/>
      <c r="V51" s="115"/>
      <c r="W51" s="114"/>
      <c r="X51" s="126"/>
      <c r="Y51" s="115"/>
      <c r="Z51" s="114"/>
      <c r="AA51" s="126"/>
      <c r="AB51" s="115"/>
      <c r="AC51" s="114"/>
      <c r="AD51" s="126"/>
      <c r="AF51" s="122"/>
      <c r="AG51" s="214"/>
      <c r="AH51" s="121"/>
      <c r="AJ51" s="122"/>
      <c r="AK51" s="214"/>
      <c r="AL51" s="121"/>
      <c r="AO51" s="254">
        <v>-0.03</v>
      </c>
      <c r="AP51" s="214"/>
      <c r="AQ51" s="118">
        <f>(AS51-AK50)/AK50</f>
        <v>6.6176470588235295E-2</v>
      </c>
      <c r="AR51" s="117">
        <f>'[1]Tuition Analysis Trend'!O33*(1+AO51)</f>
        <v>66.501276908537221</v>
      </c>
      <c r="AS51" s="74">
        <f t="shared" si="29"/>
        <v>290</v>
      </c>
      <c r="AT51" s="120">
        <f t="shared" si="30"/>
        <v>867841.66365641064</v>
      </c>
      <c r="AU51" s="86"/>
      <c r="AW51" s="80"/>
      <c r="AY51" s="60">
        <v>0.1</v>
      </c>
      <c r="AZ51" s="72"/>
      <c r="BB51" s="275"/>
      <c r="BC51" s="214"/>
      <c r="BD51" s="118"/>
      <c r="BE51" s="117">
        <f>'[1]Tuition Analysis Trend'!Q33*(1+BB51)</f>
        <v>51.795652374238628</v>
      </c>
      <c r="BF51" s="74">
        <f t="shared" si="33"/>
        <v>289.5</v>
      </c>
      <c r="BG51" s="116">
        <f t="shared" si="34"/>
        <v>674767.86130539374</v>
      </c>
      <c r="BH51" s="86"/>
      <c r="BJ51" s="72"/>
    </row>
    <row r="52" spans="2:62" x14ac:dyDescent="0.25">
      <c r="B52" s="91"/>
      <c r="C52" s="188"/>
      <c r="D52" s="285"/>
      <c r="E52" s="280"/>
      <c r="F52" s="284"/>
      <c r="G52" s="285"/>
      <c r="H52" s="280"/>
      <c r="I52" s="284"/>
      <c r="J52" s="285"/>
      <c r="K52" s="280"/>
      <c r="L52" s="284"/>
      <c r="M52" s="280"/>
      <c r="N52" s="280"/>
      <c r="O52" s="283"/>
      <c r="P52" s="285"/>
      <c r="Q52" s="280"/>
      <c r="R52" s="282"/>
      <c r="S52" s="285"/>
      <c r="T52" s="280"/>
      <c r="U52" s="279"/>
      <c r="V52" s="115"/>
      <c r="W52" s="114"/>
      <c r="X52" s="126"/>
      <c r="Y52" s="115"/>
      <c r="Z52" s="114"/>
      <c r="AA52" s="126"/>
      <c r="AB52" s="115"/>
      <c r="AC52" s="114"/>
      <c r="AD52" s="126"/>
      <c r="AF52" s="122"/>
      <c r="AG52" s="214"/>
      <c r="AH52" s="261"/>
      <c r="AJ52" s="122"/>
      <c r="AK52" s="214"/>
      <c r="AL52" s="261"/>
      <c r="AO52" s="122"/>
      <c r="AP52" s="214"/>
      <c r="AQ52" s="214"/>
      <c r="AR52" s="117"/>
      <c r="AS52" s="74"/>
      <c r="AT52" s="260"/>
      <c r="AW52" s="80"/>
      <c r="BB52" s="254">
        <f>'[1]10-yr Projection'!D89</f>
        <v>0</v>
      </c>
      <c r="BC52" s="214"/>
      <c r="BD52" s="118">
        <f>(BF52-AS51)/AS51</f>
        <v>2.9310344827586206E-2</v>
      </c>
      <c r="BE52" s="117">
        <f>'[1]Tuition Analysis Trend'!Q34*(1+BB52)</f>
        <v>56.628936796811388</v>
      </c>
      <c r="BF52" s="74">
        <f t="shared" si="33"/>
        <v>298.5</v>
      </c>
      <c r="BG52" s="116">
        <f t="shared" si="34"/>
        <v>760668.19352316891</v>
      </c>
    </row>
    <row r="53" spans="2:62" x14ac:dyDescent="0.25">
      <c r="B53" s="91"/>
      <c r="C53" s="188"/>
      <c r="D53" s="285"/>
      <c r="E53" s="280"/>
      <c r="F53" s="284"/>
      <c r="G53" s="285"/>
      <c r="H53" s="280"/>
      <c r="I53" s="284"/>
      <c r="J53" s="285"/>
      <c r="K53" s="280"/>
      <c r="L53" s="284"/>
      <c r="M53" s="280"/>
      <c r="N53" s="280"/>
      <c r="O53" s="283"/>
      <c r="P53" s="285"/>
      <c r="Q53" s="280"/>
      <c r="R53" s="282"/>
      <c r="S53" s="285"/>
      <c r="T53" s="280"/>
      <c r="U53" s="279"/>
      <c r="V53" s="115"/>
      <c r="W53" s="114"/>
      <c r="X53" s="126"/>
      <c r="Y53" s="115"/>
      <c r="Z53" s="114"/>
      <c r="AA53" s="126"/>
      <c r="AB53" s="115"/>
      <c r="AC53" s="114"/>
      <c r="AD53" s="126"/>
      <c r="AF53" s="122"/>
      <c r="AG53" s="214"/>
      <c r="AH53" s="261"/>
      <c r="AJ53" s="122"/>
      <c r="AK53" s="214"/>
      <c r="AL53" s="261"/>
      <c r="AO53" s="122"/>
      <c r="AP53" s="214"/>
      <c r="AQ53" s="214"/>
      <c r="AR53" s="117"/>
      <c r="AS53" s="74"/>
      <c r="AT53" s="260"/>
      <c r="AW53" s="80"/>
      <c r="BB53" s="122"/>
      <c r="BC53" s="214"/>
      <c r="BD53" s="214"/>
      <c r="BE53" s="117"/>
      <c r="BF53" s="74"/>
      <c r="BG53" s="127"/>
    </row>
    <row r="54" spans="2:62" s="59" customFormat="1" x14ac:dyDescent="0.25">
      <c r="B54" s="274" t="s">
        <v>170</v>
      </c>
      <c r="C54" s="169"/>
      <c r="D54" s="288">
        <f>SUM(D40:D49)</f>
        <v>321</v>
      </c>
      <c r="E54" s="287">
        <f>ROUND((F54/D54)/45,0)</f>
        <v>151</v>
      </c>
      <c r="F54" s="291">
        <f>SUM(F40:F49)</f>
        <v>2186210.0699999998</v>
      </c>
      <c r="G54" s="288">
        <f>SUM(G40:G49)</f>
        <v>386</v>
      </c>
      <c r="H54" s="287">
        <f>ROUND((I54/G54)/45,0)</f>
        <v>164</v>
      </c>
      <c r="I54" s="291">
        <f>SUM(I40:I49)</f>
        <v>2854991.56</v>
      </c>
      <c r="J54" s="288">
        <f>SUM(J40:J49)</f>
        <v>434</v>
      </c>
      <c r="K54" s="287">
        <f>ROUND((L54/J54)/45,0)</f>
        <v>176</v>
      </c>
      <c r="L54" s="291">
        <f>SUM(L40:L49)</f>
        <v>3435926.0999999996</v>
      </c>
      <c r="M54" s="287">
        <f>SUM(M40:M49)</f>
        <v>476</v>
      </c>
      <c r="N54" s="287">
        <f>ROUND((O54/M54)/45,0)</f>
        <v>188</v>
      </c>
      <c r="O54" s="290">
        <f>SUM(O40:O49)</f>
        <v>4024241.8600000003</v>
      </c>
      <c r="P54" s="288">
        <f>SUM(P40:P49)</f>
        <v>491</v>
      </c>
      <c r="Q54" s="287">
        <f>ROUND((R54/P54)/45,0)</f>
        <v>200</v>
      </c>
      <c r="R54" s="289">
        <f>SUM(R40:R49)</f>
        <v>4423294.42</v>
      </c>
      <c r="S54" s="288">
        <f>SUM(S40:S49)</f>
        <v>547</v>
      </c>
      <c r="T54" s="287">
        <f>ROUND((U54/S54)/45,0)</f>
        <v>214</v>
      </c>
      <c r="U54" s="286">
        <f>SUM(U40:U49)</f>
        <v>5268799.0600000005</v>
      </c>
      <c r="V54" s="184">
        <f>SUM(V40:V49)</f>
        <v>598</v>
      </c>
      <c r="W54" s="183">
        <f>ROUND((X54/V54)/45,0)</f>
        <v>224</v>
      </c>
      <c r="X54" s="182">
        <f>SUM(X40:X49)</f>
        <v>6033973.3900000006</v>
      </c>
      <c r="Y54" s="184">
        <f>ROUND(SUM(Y40:Y49),0)</f>
        <v>581</v>
      </c>
      <c r="Z54" s="183">
        <v>230</v>
      </c>
      <c r="AA54" s="182">
        <f>SUM(AA40:AA49)</f>
        <v>6011944.3399999999</v>
      </c>
      <c r="AB54" s="184">
        <f>ROUND(SUM(AB40:AB49),0)</f>
        <v>601</v>
      </c>
      <c r="AC54" s="183">
        <f>ROUND((AD54/AB54)/45,0)</f>
        <v>237</v>
      </c>
      <c r="AD54" s="182">
        <f>SUM(AD40:AD49)</f>
        <v>6399966.6900000004</v>
      </c>
      <c r="AF54" s="181">
        <f>ROUND(SUM(AF40:AF53),0)</f>
        <v>579</v>
      </c>
      <c r="AG54" s="180">
        <f>ROUND((AH54/AF54)/45,0)</f>
        <v>244</v>
      </c>
      <c r="AH54" s="179">
        <f>ROUND(SUM(AH40:AH53),0)</f>
        <v>6351885</v>
      </c>
      <c r="AJ54" s="181">
        <f>ROUND(SUM(AJ40:AJ50),0)</f>
        <v>635</v>
      </c>
      <c r="AK54" s="180">
        <f>ROUND((AL54/AJ54)/45,0)</f>
        <v>242</v>
      </c>
      <c r="AL54" s="179">
        <f>SUM(AL40:AL50)</f>
        <v>6918124.8700000001</v>
      </c>
      <c r="AM54" s="80">
        <f>AL54-AH54</f>
        <v>566239.87000000011</v>
      </c>
      <c r="AO54" s="272">
        <f>(AR54-AJ54)/AJ54</f>
        <v>-2.3622047244094488E-2</v>
      </c>
      <c r="AP54" s="180"/>
      <c r="AQ54" s="271">
        <f>(AS54-AK54)/AK54</f>
        <v>5.7851239669421489E-2</v>
      </c>
      <c r="AR54" s="177">
        <f>ROUND(SUM(AR40:AR52),0)</f>
        <v>620</v>
      </c>
      <c r="AS54" s="176">
        <f>ROUND((AT54/AR54)/45,0)</f>
        <v>256</v>
      </c>
      <c r="AT54" s="178">
        <f>SUM(AT40:AT52)</f>
        <v>7142679.6938820546</v>
      </c>
      <c r="AV54" s="64">
        <f>AR54-AJ54</f>
        <v>-15</v>
      </c>
      <c r="AW54" s="273">
        <f>AT54-AL54</f>
        <v>224554.82388205454</v>
      </c>
      <c r="AY54" s="60">
        <v>0.1</v>
      </c>
      <c r="AZ54" s="72"/>
      <c r="BB54" s="272">
        <f>(BE54-AR54)/AR54</f>
        <v>0</v>
      </c>
      <c r="BC54" s="180"/>
      <c r="BD54" s="271">
        <f>(BF54-AS54)/AS54</f>
        <v>2.734375E-2</v>
      </c>
      <c r="BE54" s="177">
        <f>ROUND(SUM(BE40:BE52),0)</f>
        <v>620</v>
      </c>
      <c r="BF54" s="176">
        <f>ROUND((BG54/BE54)/45,0)</f>
        <v>263</v>
      </c>
      <c r="BG54" s="175">
        <f>SUM(BG40:BG52)</f>
        <v>7350278.5693610255</v>
      </c>
      <c r="BI54" s="60"/>
      <c r="BJ54" s="72"/>
    </row>
    <row r="55" spans="2:62" x14ac:dyDescent="0.25">
      <c r="B55" s="91"/>
      <c r="C55" s="188"/>
      <c r="D55" s="285"/>
      <c r="E55" s="280"/>
      <c r="F55" s="284"/>
      <c r="G55" s="285"/>
      <c r="H55" s="280"/>
      <c r="I55" s="284"/>
      <c r="J55" s="285"/>
      <c r="K55" s="280"/>
      <c r="L55" s="284"/>
      <c r="M55" s="280"/>
      <c r="N55" s="280"/>
      <c r="O55" s="283"/>
      <c r="P55" s="281"/>
      <c r="Q55" s="280"/>
      <c r="R55" s="282"/>
      <c r="S55" s="281"/>
      <c r="T55" s="280"/>
      <c r="U55" s="279"/>
      <c r="V55" s="171"/>
      <c r="W55" s="114"/>
      <c r="X55" s="126"/>
      <c r="Y55" s="171"/>
      <c r="Z55" s="114"/>
      <c r="AA55" s="126"/>
      <c r="AB55" s="171"/>
      <c r="AC55" s="114"/>
      <c r="AD55" s="126"/>
      <c r="AF55" s="278"/>
      <c r="AG55" s="214"/>
      <c r="AH55" s="261"/>
      <c r="AJ55" s="278">
        <f>AJ40/AJ54</f>
        <v>0.62204724409448819</v>
      </c>
      <c r="AK55" s="214"/>
      <c r="AL55" s="261"/>
      <c r="AO55" s="122"/>
      <c r="AP55" s="214"/>
      <c r="AQ55" s="214"/>
      <c r="AR55" s="277"/>
      <c r="AS55" s="74"/>
      <c r="AT55" s="260"/>
      <c r="AW55" s="80"/>
      <c r="BB55" s="122"/>
      <c r="BC55" s="214"/>
      <c r="BD55" s="214"/>
      <c r="BE55" s="277"/>
      <c r="BF55" s="74"/>
      <c r="BG55" s="127"/>
    </row>
    <row r="56" spans="2:62" x14ac:dyDescent="0.25">
      <c r="B56" s="91" t="s">
        <v>169</v>
      </c>
      <c r="C56" s="188"/>
      <c r="D56" s="256">
        <f>ROUND((F56/E56)/45,0)</f>
        <v>6</v>
      </c>
      <c r="E56" s="230">
        <f>ROUND(E22*1.5,0)</f>
        <v>144</v>
      </c>
      <c r="F56" s="259">
        <v>38997.58</v>
      </c>
      <c r="G56" s="256">
        <f>ROUND((I56/H56)/45,0)</f>
        <v>3</v>
      </c>
      <c r="H56" s="230">
        <f>ROUND(H22*1.5,0)</f>
        <v>149</v>
      </c>
      <c r="I56" s="259">
        <v>19661.39</v>
      </c>
      <c r="J56" s="256">
        <f>ROUND((L56/K56)/45,0)</f>
        <v>1</v>
      </c>
      <c r="K56" s="230">
        <f>ROUND(K22*1.5,0)</f>
        <v>164</v>
      </c>
      <c r="L56" s="259">
        <v>3907.65</v>
      </c>
      <c r="M56" s="230">
        <f>ROUND((O56/N56)/45,0)</f>
        <v>0</v>
      </c>
      <c r="N56" s="230">
        <f>ROUND(N22*1.5,0)</f>
        <v>171</v>
      </c>
      <c r="O56" s="157">
        <v>501.85</v>
      </c>
      <c r="P56" s="256">
        <f t="shared" ref="P56:P61" si="35">ROUND((R56/Q56)/45,0)</f>
        <v>0</v>
      </c>
      <c r="Q56" s="230">
        <f t="shared" ref="Q56:Q61" si="36">ROUND(Q22*1.5,0)</f>
        <v>180</v>
      </c>
      <c r="R56" s="276">
        <v>0</v>
      </c>
      <c r="S56" s="256">
        <f>ROUND((U56/T56)/45,0)</f>
        <v>2</v>
      </c>
      <c r="T56" s="230">
        <f>ROUND(T22*1.5,0)</f>
        <v>218</v>
      </c>
      <c r="U56" s="157">
        <v>20224.68</v>
      </c>
      <c r="V56" s="115">
        <f>S56</f>
        <v>2</v>
      </c>
      <c r="W56" s="114">
        <f>ROUND(W22*1.5,0)</f>
        <v>222</v>
      </c>
      <c r="X56" s="123">
        <f>[1]WUE!N128</f>
        <v>51284.199174082576</v>
      </c>
      <c r="Y56" s="115">
        <f>ROUND((AA56/Z56)/15,0)</f>
        <v>19</v>
      </c>
      <c r="Z56" s="114">
        <v>222</v>
      </c>
      <c r="AA56" s="123">
        <v>64116.01</v>
      </c>
      <c r="AB56" s="115">
        <f>ROUND((AD56/AC56)/15,0)</f>
        <v>22</v>
      </c>
      <c r="AC56" s="114">
        <f>AC40</f>
        <v>227</v>
      </c>
      <c r="AD56" s="123">
        <v>75638.559137456934</v>
      </c>
      <c r="AF56" s="122">
        <v>20</v>
      </c>
      <c r="AG56" s="214">
        <v>233</v>
      </c>
      <c r="AH56" s="121">
        <v>69900</v>
      </c>
      <c r="AJ56" s="122">
        <f>ROUND((AL56/AK56)/15,0)</f>
        <v>16</v>
      </c>
      <c r="AK56" s="214">
        <v>233</v>
      </c>
      <c r="AL56" s="121">
        <v>55950.49</v>
      </c>
      <c r="AM56" s="80">
        <f t="shared" ref="AM56:AM66" si="37">AL56-AH56</f>
        <v>-13949.510000000002</v>
      </c>
      <c r="AO56" s="254">
        <v>-0.03</v>
      </c>
      <c r="AP56" s="214"/>
      <c r="AQ56" s="118">
        <f>AQ40</f>
        <v>6.4377682403433473E-2</v>
      </c>
      <c r="AR56" s="117">
        <f>($AJ$70*(AR40/$AR$54))*(1+AO56)</f>
        <v>16.443801647612105</v>
      </c>
      <c r="AS56" s="74">
        <f>AS40</f>
        <v>248</v>
      </c>
      <c r="AT56" s="120">
        <f>AS56*AR56*15</f>
        <v>61170.942129117037</v>
      </c>
      <c r="AU56" s="86"/>
      <c r="AV56" s="64">
        <f>AR56-AJ56</f>
        <v>0.44380164761210494</v>
      </c>
      <c r="AW56" s="80">
        <f>AT56-AL56</f>
        <v>5220.4521291170386</v>
      </c>
      <c r="AY56" s="60">
        <v>0.1</v>
      </c>
      <c r="AZ56" s="72"/>
      <c r="BB56" s="254">
        <f>BB40</f>
        <v>0</v>
      </c>
      <c r="BC56" s="214"/>
      <c r="BD56" s="118">
        <f>BD40</f>
        <v>2.8225806451612902E-2</v>
      </c>
      <c r="BE56" s="117">
        <f>($AR$70*(BE40/$BE$54))*(1+BB56)</f>
        <v>17.618926000058277</v>
      </c>
      <c r="BF56" s="74">
        <f>BF40</f>
        <v>255</v>
      </c>
      <c r="BG56" s="116">
        <f>BF56*BE56*15</f>
        <v>67392.391950222911</v>
      </c>
      <c r="BH56" s="86"/>
      <c r="BJ56" s="72"/>
    </row>
    <row r="57" spans="2:62" ht="15.75" hidden="1" customHeight="1" x14ac:dyDescent="0.25">
      <c r="B57" s="91" t="s">
        <v>168</v>
      </c>
      <c r="C57" s="188">
        <v>2007</v>
      </c>
      <c r="D57" s="256">
        <f>ROUND((F57/E57)/45,0)</f>
        <v>2</v>
      </c>
      <c r="E57" s="230">
        <f>ROUND(E23*1.5,0)</f>
        <v>158</v>
      </c>
      <c r="F57" s="259">
        <v>15038.42</v>
      </c>
      <c r="G57" s="256">
        <f>ROUND((I57/H57)/45,0)</f>
        <v>3</v>
      </c>
      <c r="H57" s="230">
        <f>ROUND(H23*1.5,0)</f>
        <v>158</v>
      </c>
      <c r="I57" s="259">
        <v>23444.65</v>
      </c>
      <c r="J57" s="256">
        <f>ROUND((L57/K57)/45,0)</f>
        <v>2</v>
      </c>
      <c r="K57" s="230">
        <f>ROUND(K23*1.5,0)</f>
        <v>158</v>
      </c>
      <c r="L57" s="259">
        <v>13479.99</v>
      </c>
      <c r="M57" s="230">
        <f>ROUND((O57/N57)/45,0)</f>
        <v>1</v>
      </c>
      <c r="N57" s="230">
        <f>ROUND(N23*1.5,0)</f>
        <v>158</v>
      </c>
      <c r="O57" s="258">
        <v>5418.26</v>
      </c>
      <c r="P57" s="256">
        <f t="shared" si="35"/>
        <v>0</v>
      </c>
      <c r="Q57" s="230">
        <f t="shared" si="36"/>
        <v>158</v>
      </c>
      <c r="R57" s="257">
        <v>715.65</v>
      </c>
      <c r="S57" s="256"/>
      <c r="T57" s="230"/>
      <c r="U57" s="255"/>
      <c r="V57" s="115"/>
      <c r="W57" s="114"/>
      <c r="X57" s="123"/>
      <c r="Y57" s="115"/>
      <c r="Z57" s="114"/>
      <c r="AA57" s="123">
        <v>0</v>
      </c>
      <c r="AB57" s="115"/>
      <c r="AC57" s="114"/>
      <c r="AD57" s="123"/>
      <c r="AF57" s="122"/>
      <c r="AG57" s="214"/>
      <c r="AH57" s="121"/>
      <c r="AJ57" s="122"/>
      <c r="AK57" s="214"/>
      <c r="AL57" s="121"/>
      <c r="AM57" s="80">
        <f t="shared" si="37"/>
        <v>0</v>
      </c>
      <c r="AO57" s="122"/>
      <c r="AP57" s="214"/>
      <c r="AQ57" s="214"/>
      <c r="AR57" s="117"/>
      <c r="AS57" s="74"/>
      <c r="AT57" s="120"/>
      <c r="AW57" s="80"/>
      <c r="AY57" s="60">
        <v>0.1</v>
      </c>
      <c r="AZ57" s="72"/>
      <c r="BB57" s="122"/>
      <c r="BC57" s="214"/>
      <c r="BD57" s="214"/>
      <c r="BE57" s="117"/>
      <c r="BF57" s="74"/>
      <c r="BG57" s="116"/>
      <c r="BJ57" s="72"/>
    </row>
    <row r="58" spans="2:62" ht="15.75" hidden="1" customHeight="1" x14ac:dyDescent="0.25">
      <c r="B58" s="91" t="s">
        <v>167</v>
      </c>
      <c r="C58" s="188">
        <v>2008</v>
      </c>
      <c r="D58" s="256"/>
      <c r="E58" s="230"/>
      <c r="F58" s="259"/>
      <c r="G58" s="256">
        <f>ROUND((I58/H58)/45,0)</f>
        <v>3</v>
      </c>
      <c r="H58" s="230">
        <f>ROUND(H24*1.5,0)</f>
        <v>173</v>
      </c>
      <c r="I58" s="259">
        <v>19760.669999999998</v>
      </c>
      <c r="J58" s="256">
        <f>ROUND((L58/K58)/45,0)</f>
        <v>3</v>
      </c>
      <c r="K58" s="230">
        <f>ROUND(K24*1.5,0)</f>
        <v>173</v>
      </c>
      <c r="L58" s="259">
        <v>21582.62</v>
      </c>
      <c r="M58" s="230">
        <f>ROUND((O58/N58)/45,0)</f>
        <v>2</v>
      </c>
      <c r="N58" s="230">
        <f>ROUND(N24*1.5,0)</f>
        <v>173</v>
      </c>
      <c r="O58" s="258">
        <v>15772.18</v>
      </c>
      <c r="P58" s="256">
        <f t="shared" si="35"/>
        <v>2</v>
      </c>
      <c r="Q58" s="230">
        <f t="shared" si="36"/>
        <v>173</v>
      </c>
      <c r="R58" s="276">
        <v>12380.75</v>
      </c>
      <c r="S58" s="256">
        <f>ROUND((U58/T58)/45,0)</f>
        <v>0</v>
      </c>
      <c r="T58" s="230">
        <f>ROUND(T24*1.5,0)</f>
        <v>173</v>
      </c>
      <c r="U58" s="255">
        <v>-734.4</v>
      </c>
      <c r="V58" s="115"/>
      <c r="W58" s="114"/>
      <c r="X58" s="123"/>
      <c r="Y58" s="115"/>
      <c r="Z58" s="114"/>
      <c r="AA58" s="123">
        <v>0</v>
      </c>
      <c r="AB58" s="115"/>
      <c r="AC58" s="114"/>
      <c r="AD58" s="123"/>
      <c r="AF58" s="122"/>
      <c r="AG58" s="214"/>
      <c r="AH58" s="121"/>
      <c r="AJ58" s="122"/>
      <c r="AK58" s="214"/>
      <c r="AL58" s="121"/>
      <c r="AM58" s="80">
        <f t="shared" si="37"/>
        <v>0</v>
      </c>
      <c r="AO58" s="122"/>
      <c r="AP58" s="214"/>
      <c r="AQ58" s="214"/>
      <c r="AR58" s="117"/>
      <c r="AS58" s="74"/>
      <c r="AT58" s="120"/>
      <c r="AW58" s="80"/>
      <c r="AY58" s="60">
        <v>0.1</v>
      </c>
      <c r="AZ58" s="72"/>
      <c r="BB58" s="122"/>
      <c r="BC58" s="214"/>
      <c r="BD58" s="214"/>
      <c r="BE58" s="117"/>
      <c r="BF58" s="74"/>
      <c r="BG58" s="116"/>
      <c r="BJ58" s="72"/>
    </row>
    <row r="59" spans="2:62" x14ac:dyDescent="0.25">
      <c r="B59" s="91" t="s">
        <v>167</v>
      </c>
      <c r="C59" s="188">
        <v>2009</v>
      </c>
      <c r="D59" s="256"/>
      <c r="E59" s="230"/>
      <c r="F59" s="259"/>
      <c r="G59" s="256"/>
      <c r="H59" s="230"/>
      <c r="I59" s="259"/>
      <c r="J59" s="256">
        <f>ROUND((L59/K59)/45,0)</f>
        <v>3</v>
      </c>
      <c r="K59" s="230">
        <f>ROUND(K25*1.5,0)</f>
        <v>188</v>
      </c>
      <c r="L59" s="259">
        <v>22394.74</v>
      </c>
      <c r="M59" s="230">
        <f>ROUND((O59/N59)/45,0)</f>
        <v>4</v>
      </c>
      <c r="N59" s="230">
        <f>ROUND(N25*1.5,0)</f>
        <v>188</v>
      </c>
      <c r="O59" s="258">
        <v>31291.77</v>
      </c>
      <c r="P59" s="256">
        <f t="shared" si="35"/>
        <v>2</v>
      </c>
      <c r="Q59" s="230">
        <f t="shared" si="36"/>
        <v>188</v>
      </c>
      <c r="R59" s="276">
        <v>19712.09</v>
      </c>
      <c r="S59" s="256">
        <f>ROUND((U59/T59)/45,0)</f>
        <v>1</v>
      </c>
      <c r="T59" s="230">
        <f>ROUND(T25*1.5,0)</f>
        <v>188</v>
      </c>
      <c r="U59" s="157">
        <v>11262.23</v>
      </c>
      <c r="V59" s="115">
        <f>S58</f>
        <v>0</v>
      </c>
      <c r="W59" s="114">
        <f>ROUND(W25*1.5,0)</f>
        <v>188</v>
      </c>
      <c r="X59" s="123">
        <f>[1]WUE!N123</f>
        <v>0</v>
      </c>
      <c r="Y59" s="115"/>
      <c r="Z59" s="114"/>
      <c r="AA59" s="123">
        <v>0</v>
      </c>
      <c r="AB59" s="115"/>
      <c r="AC59" s="114"/>
      <c r="AD59" s="123"/>
      <c r="AF59" s="122"/>
      <c r="AG59" s="214"/>
      <c r="AH59" s="121"/>
      <c r="AJ59" s="122"/>
      <c r="AK59" s="214"/>
      <c r="AL59" s="121">
        <v>0</v>
      </c>
      <c r="AM59" s="80">
        <f t="shared" si="37"/>
        <v>0</v>
      </c>
      <c r="AO59" s="122"/>
      <c r="AP59" s="214"/>
      <c r="AQ59" s="214"/>
      <c r="AR59" s="117"/>
      <c r="AS59" s="74"/>
      <c r="AT59" s="120"/>
      <c r="AW59" s="80"/>
      <c r="AY59" s="60">
        <v>0.1</v>
      </c>
      <c r="AZ59" s="72"/>
      <c r="BB59" s="122"/>
      <c r="BC59" s="214"/>
      <c r="BD59" s="214"/>
      <c r="BE59" s="117"/>
      <c r="BF59" s="74"/>
      <c r="BG59" s="116"/>
      <c r="BJ59" s="72"/>
    </row>
    <row r="60" spans="2:62" x14ac:dyDescent="0.25">
      <c r="B60" s="91" t="s">
        <v>167</v>
      </c>
      <c r="C60" s="188">
        <v>2010</v>
      </c>
      <c r="D60" s="256"/>
      <c r="E60" s="230"/>
      <c r="F60" s="259"/>
      <c r="G60" s="256"/>
      <c r="H60" s="230"/>
      <c r="I60" s="259"/>
      <c r="J60" s="256"/>
      <c r="K60" s="230"/>
      <c r="L60" s="259"/>
      <c r="M60" s="230">
        <f>ROUND((O60/N60)/45,0)</f>
        <v>4</v>
      </c>
      <c r="N60" s="230">
        <f>ROUND(N26*1.5,0)</f>
        <v>204</v>
      </c>
      <c r="O60" s="258">
        <v>33125.18</v>
      </c>
      <c r="P60" s="256">
        <f t="shared" si="35"/>
        <v>4</v>
      </c>
      <c r="Q60" s="230">
        <f t="shared" si="36"/>
        <v>204</v>
      </c>
      <c r="R60" s="276">
        <v>37235.56</v>
      </c>
      <c r="S60" s="256">
        <f>ROUND((U60/T60)/45,0)</f>
        <v>3</v>
      </c>
      <c r="T60" s="230">
        <f>ROUND(T26*1.5,0)</f>
        <v>204</v>
      </c>
      <c r="U60" s="157">
        <v>30263.26</v>
      </c>
      <c r="V60" s="115">
        <f>S59</f>
        <v>1</v>
      </c>
      <c r="W60" s="114">
        <f>ROUND(W26*1.5,0)</f>
        <v>204</v>
      </c>
      <c r="X60" s="123">
        <f>[1]WUE!N124</f>
        <v>21697.857488289548</v>
      </c>
      <c r="Y60" s="115">
        <f>ROUND((AA60/Z60)/15,0)</f>
        <v>0</v>
      </c>
      <c r="Z60" s="114">
        <v>204</v>
      </c>
      <c r="AA60" s="123">
        <v>820.84</v>
      </c>
      <c r="AB60" s="115">
        <f t="shared" ref="AB60:AB65" si="38">ROUND((AD60/AC60)/15,0)</f>
        <v>0</v>
      </c>
      <c r="AC60" s="114">
        <f>ROUND(AC26*1.5,0)</f>
        <v>204</v>
      </c>
      <c r="AD60" s="123">
        <v>0</v>
      </c>
      <c r="AF60" s="122">
        <v>0</v>
      </c>
      <c r="AG60" s="214">
        <v>204</v>
      </c>
      <c r="AH60" s="121">
        <v>0</v>
      </c>
      <c r="AJ60" s="122">
        <f t="shared" ref="AJ60:AJ66" si="39">ROUND((AL60/AK60)/15,0)</f>
        <v>0</v>
      </c>
      <c r="AK60" s="214">
        <v>204</v>
      </c>
      <c r="AL60" s="121">
        <v>0</v>
      </c>
      <c r="AM60" s="80">
        <f t="shared" si="37"/>
        <v>0</v>
      </c>
      <c r="AO60" s="275"/>
      <c r="AP60" s="214"/>
      <c r="AQ60" s="214"/>
      <c r="AR60" s="117"/>
      <c r="AS60" s="74">
        <f t="shared" ref="AS60:AS67" si="40">AS44</f>
        <v>204</v>
      </c>
      <c r="AT60" s="120">
        <f t="shared" ref="AT60:AT67" si="41">AS60*AR60*15</f>
        <v>0</v>
      </c>
      <c r="AV60" s="64">
        <f t="shared" ref="AV60:AV66" si="42">AR60-AJ60</f>
        <v>0</v>
      </c>
      <c r="AW60" s="80">
        <f t="shared" ref="AW60:AW66" si="43">AT60-AL60</f>
        <v>0</v>
      </c>
      <c r="AY60" s="60">
        <v>0.1</v>
      </c>
      <c r="AZ60" s="72"/>
      <c r="BB60" s="275"/>
      <c r="BC60" s="214"/>
      <c r="BD60" s="214"/>
      <c r="BE60" s="117"/>
      <c r="BF60" s="74"/>
      <c r="BG60" s="116"/>
      <c r="BJ60" s="72"/>
    </row>
    <row r="61" spans="2:62" x14ac:dyDescent="0.25">
      <c r="B61" s="91" t="s">
        <v>167</v>
      </c>
      <c r="C61" s="188">
        <v>2011</v>
      </c>
      <c r="D61" s="256"/>
      <c r="E61" s="230"/>
      <c r="F61" s="259"/>
      <c r="G61" s="256"/>
      <c r="H61" s="230"/>
      <c r="I61" s="259"/>
      <c r="J61" s="256"/>
      <c r="K61" s="230"/>
      <c r="L61" s="259"/>
      <c r="M61" s="230"/>
      <c r="N61" s="230"/>
      <c r="O61" s="258"/>
      <c r="P61" s="256">
        <f t="shared" si="35"/>
        <v>4</v>
      </c>
      <c r="Q61" s="230">
        <f t="shared" si="36"/>
        <v>215</v>
      </c>
      <c r="R61" s="276">
        <v>36586.04</v>
      </c>
      <c r="S61" s="256">
        <f>ROUND((U61/T61)/45,0)</f>
        <v>4</v>
      </c>
      <c r="T61" s="230">
        <f>ROUND(T27*1.5,0)</f>
        <v>215</v>
      </c>
      <c r="U61" s="157">
        <v>42420.15</v>
      </c>
      <c r="V61" s="115">
        <f>S60</f>
        <v>3</v>
      </c>
      <c r="W61" s="114">
        <f>ROUND(W27*1.5,0)</f>
        <v>215</v>
      </c>
      <c r="X61" s="123">
        <f>[1]WUE!N125</f>
        <v>22258.121856949056</v>
      </c>
      <c r="Y61" s="115">
        <f>ROUND((AA61/Z61)/15,0)</f>
        <v>7</v>
      </c>
      <c r="Z61" s="114">
        <v>215</v>
      </c>
      <c r="AA61" s="123">
        <v>23334.880000000001</v>
      </c>
      <c r="AB61" s="115">
        <f t="shared" si="38"/>
        <v>0</v>
      </c>
      <c r="AC61" s="114">
        <f>ROUND(AC27*1.5,0)</f>
        <v>215</v>
      </c>
      <c r="AD61" s="123">
        <v>22.762698555599716</v>
      </c>
      <c r="AF61" s="122">
        <v>0</v>
      </c>
      <c r="AG61" s="214">
        <v>215</v>
      </c>
      <c r="AH61" s="121">
        <v>0</v>
      </c>
      <c r="AJ61" s="122">
        <f t="shared" si="39"/>
        <v>0</v>
      </c>
      <c r="AK61" s="214">
        <v>215</v>
      </c>
      <c r="AL61" s="121">
        <v>0</v>
      </c>
      <c r="AM61" s="80">
        <f t="shared" si="37"/>
        <v>0</v>
      </c>
      <c r="AO61" s="275"/>
      <c r="AP61" s="214"/>
      <c r="AQ61" s="214"/>
      <c r="AR61" s="117"/>
      <c r="AS61" s="74">
        <f t="shared" si="40"/>
        <v>215</v>
      </c>
      <c r="AT61" s="120">
        <f t="shared" si="41"/>
        <v>0</v>
      </c>
      <c r="AV61" s="64">
        <f t="shared" si="42"/>
        <v>0</v>
      </c>
      <c r="AW61" s="80">
        <f t="shared" si="43"/>
        <v>0</v>
      </c>
      <c r="AY61" s="60">
        <v>0.1</v>
      </c>
      <c r="AZ61" s="72"/>
      <c r="BB61" s="275"/>
      <c r="BC61" s="214"/>
      <c r="BD61" s="214"/>
      <c r="BE61" s="117"/>
      <c r="BF61" s="74"/>
      <c r="BG61" s="116"/>
      <c r="BJ61" s="72"/>
    </row>
    <row r="62" spans="2:62" x14ac:dyDescent="0.25">
      <c r="B62" s="91" t="s">
        <v>167</v>
      </c>
      <c r="C62" s="188">
        <v>2012</v>
      </c>
      <c r="D62" s="256"/>
      <c r="E62" s="230"/>
      <c r="F62" s="259"/>
      <c r="G62" s="256"/>
      <c r="H62" s="230"/>
      <c r="I62" s="259"/>
      <c r="J62" s="256"/>
      <c r="K62" s="230"/>
      <c r="L62" s="259"/>
      <c r="M62" s="230"/>
      <c r="N62" s="230"/>
      <c r="O62" s="258"/>
      <c r="P62" s="256"/>
      <c r="Q62" s="230"/>
      <c r="R62" s="257"/>
      <c r="S62" s="256">
        <f>ROUND((U62/T62)/45,0)</f>
        <v>1</v>
      </c>
      <c r="T62" s="230">
        <f>ROUND(T28*1.5,0)</f>
        <v>236</v>
      </c>
      <c r="U62" s="157">
        <v>10062.99</v>
      </c>
      <c r="V62" s="115">
        <f>S61</f>
        <v>4</v>
      </c>
      <c r="W62" s="114">
        <f>ROUND(W28*1.5,0)</f>
        <v>236</v>
      </c>
      <c r="X62" s="123">
        <f>[1]WUE!N126</f>
        <v>6561.1912288934591</v>
      </c>
      <c r="Y62" s="115">
        <f>ROUND((AA62/Z62)/15,0)</f>
        <v>6</v>
      </c>
      <c r="Z62" s="114">
        <v>236</v>
      </c>
      <c r="AA62" s="123">
        <v>22810.23</v>
      </c>
      <c r="AB62" s="115">
        <f t="shared" si="38"/>
        <v>5</v>
      </c>
      <c r="AC62" s="114">
        <f>ROUND(AC28*1.5,0)</f>
        <v>236</v>
      </c>
      <c r="AD62" s="123">
        <v>19341.609495343433</v>
      </c>
      <c r="AF62" s="122">
        <v>0</v>
      </c>
      <c r="AG62" s="214">
        <v>236</v>
      </c>
      <c r="AH62" s="121">
        <v>0</v>
      </c>
      <c r="AJ62" s="122">
        <f t="shared" si="39"/>
        <v>0</v>
      </c>
      <c r="AK62" s="214">
        <v>236</v>
      </c>
      <c r="AL62" s="121">
        <v>-1290.5899999999999</v>
      </c>
      <c r="AM62" s="80">
        <f t="shared" si="37"/>
        <v>-1290.5899999999999</v>
      </c>
      <c r="AO62" s="275"/>
      <c r="AP62" s="214"/>
      <c r="AQ62" s="214"/>
      <c r="AR62" s="117"/>
      <c r="AS62" s="74">
        <f t="shared" si="40"/>
        <v>236</v>
      </c>
      <c r="AT62" s="120">
        <f t="shared" si="41"/>
        <v>0</v>
      </c>
      <c r="AV62" s="64">
        <f t="shared" si="42"/>
        <v>0</v>
      </c>
      <c r="AW62" s="80">
        <f t="shared" si="43"/>
        <v>1290.5899999999999</v>
      </c>
      <c r="AY62" s="60">
        <v>0.1</v>
      </c>
      <c r="AZ62" s="72"/>
      <c r="BB62" s="275"/>
      <c r="BC62" s="214"/>
      <c r="BD62" s="214"/>
      <c r="BE62" s="117"/>
      <c r="BF62" s="74"/>
      <c r="BG62" s="116"/>
      <c r="BJ62" s="72"/>
    </row>
    <row r="63" spans="2:62" x14ac:dyDescent="0.25">
      <c r="B63" s="91" t="s">
        <v>167</v>
      </c>
      <c r="C63" s="188">
        <v>2013</v>
      </c>
      <c r="D63" s="256"/>
      <c r="E63" s="230"/>
      <c r="F63" s="259"/>
      <c r="G63" s="256"/>
      <c r="H63" s="230"/>
      <c r="I63" s="259"/>
      <c r="J63" s="256"/>
      <c r="K63" s="230"/>
      <c r="L63" s="259"/>
      <c r="M63" s="230"/>
      <c r="N63" s="230"/>
      <c r="O63" s="258"/>
      <c r="P63" s="256"/>
      <c r="Q63" s="230"/>
      <c r="R63" s="257"/>
      <c r="S63" s="256"/>
      <c r="T63" s="230"/>
      <c r="U63" s="255"/>
      <c r="V63" s="115">
        <f>S62</f>
        <v>1</v>
      </c>
      <c r="W63" s="114">
        <f>ROUND(W29*1.5,0)</f>
        <v>246</v>
      </c>
      <c r="X63" s="123">
        <f>[1]WUE!N127</f>
        <v>9873.2302517853641</v>
      </c>
      <c r="Y63" s="115">
        <f>ROUND((AA63/Z63)/15,0)</f>
        <v>5</v>
      </c>
      <c r="Z63" s="114">
        <v>246</v>
      </c>
      <c r="AA63" s="123">
        <v>18849.71</v>
      </c>
      <c r="AB63" s="115">
        <f t="shared" si="38"/>
        <v>4</v>
      </c>
      <c r="AC63" s="114">
        <f>ROUND(AC29*1.5,0)</f>
        <v>246</v>
      </c>
      <c r="AD63" s="123">
        <v>15842.303969397559</v>
      </c>
      <c r="AF63" s="122">
        <v>5</v>
      </c>
      <c r="AG63" s="214">
        <v>246</v>
      </c>
      <c r="AH63" s="121">
        <v>18450</v>
      </c>
      <c r="AJ63" s="122">
        <f t="shared" si="39"/>
        <v>3</v>
      </c>
      <c r="AK63" s="214">
        <v>246</v>
      </c>
      <c r="AL63" s="121">
        <v>10725.56</v>
      </c>
      <c r="AM63" s="80">
        <f t="shared" si="37"/>
        <v>-7724.4400000000005</v>
      </c>
      <c r="AO63" s="275"/>
      <c r="AP63" s="214"/>
      <c r="AQ63" s="214"/>
      <c r="AR63" s="117">
        <f>($AJ$70*(AR47/$AR$54))*(1+AO63)</f>
        <v>3.2646661605293857E-2</v>
      </c>
      <c r="AS63" s="74">
        <f t="shared" si="40"/>
        <v>246</v>
      </c>
      <c r="AT63" s="120">
        <f t="shared" si="41"/>
        <v>120.46618132353433</v>
      </c>
      <c r="AV63" s="64">
        <f t="shared" si="42"/>
        <v>-2.9673533383947062</v>
      </c>
      <c r="AW63" s="80">
        <f t="shared" si="43"/>
        <v>-10605.093818676465</v>
      </c>
      <c r="AY63" s="60">
        <v>0.1</v>
      </c>
      <c r="AZ63" s="72"/>
      <c r="BB63" s="275"/>
      <c r="BC63" s="214"/>
      <c r="BD63" s="214"/>
      <c r="BE63" s="117"/>
      <c r="BF63" s="74"/>
      <c r="BG63" s="116"/>
      <c r="BJ63" s="72"/>
    </row>
    <row r="64" spans="2:62" x14ac:dyDescent="0.25">
      <c r="B64" s="91" t="s">
        <v>167</v>
      </c>
      <c r="C64" s="188">
        <v>2014</v>
      </c>
      <c r="D64" s="256"/>
      <c r="E64" s="230"/>
      <c r="F64" s="259"/>
      <c r="G64" s="256"/>
      <c r="H64" s="230"/>
      <c r="I64" s="259"/>
      <c r="J64" s="256"/>
      <c r="K64" s="230"/>
      <c r="L64" s="259"/>
      <c r="M64" s="230"/>
      <c r="N64" s="230"/>
      <c r="O64" s="258"/>
      <c r="P64" s="256"/>
      <c r="Q64" s="230"/>
      <c r="R64" s="257"/>
      <c r="S64" s="256"/>
      <c r="T64" s="230"/>
      <c r="U64" s="255"/>
      <c r="V64" s="115"/>
      <c r="W64" s="114"/>
      <c r="X64" s="126"/>
      <c r="Y64" s="115">
        <f>ROUND((AA64/Z64)/15,0)</f>
        <v>3</v>
      </c>
      <c r="Z64" s="114">
        <v>252</v>
      </c>
      <c r="AA64" s="123">
        <v>10102.049999999999</v>
      </c>
      <c r="AB64" s="115">
        <f t="shared" si="38"/>
        <v>7</v>
      </c>
      <c r="AC64" s="114">
        <f>ROUND(AC30*1.5,0)</f>
        <v>252</v>
      </c>
      <c r="AD64" s="123">
        <v>24989.903601088881</v>
      </c>
      <c r="AF64" s="122">
        <v>4</v>
      </c>
      <c r="AG64" s="214">
        <v>252</v>
      </c>
      <c r="AH64" s="121">
        <v>15120</v>
      </c>
      <c r="AJ64" s="122">
        <f t="shared" si="39"/>
        <v>2</v>
      </c>
      <c r="AK64" s="214">
        <v>252</v>
      </c>
      <c r="AL64" s="121">
        <v>7332.67</v>
      </c>
      <c r="AM64" s="80">
        <f t="shared" si="37"/>
        <v>-7787.33</v>
      </c>
      <c r="AO64" s="275"/>
      <c r="AP64" s="214"/>
      <c r="AQ64" s="214"/>
      <c r="AR64" s="117">
        <f>($AJ$70*(AR48/$AR$54))*(1+AO64)</f>
        <v>2.1078983224417889</v>
      </c>
      <c r="AS64" s="74">
        <f t="shared" si="40"/>
        <v>252</v>
      </c>
      <c r="AT64" s="120">
        <f t="shared" si="41"/>
        <v>7967.8556588299616</v>
      </c>
      <c r="AV64" s="64">
        <f t="shared" si="42"/>
        <v>0.10789832244178887</v>
      </c>
      <c r="AW64" s="80">
        <f t="shared" si="43"/>
        <v>635.18565882996154</v>
      </c>
      <c r="AY64" s="60">
        <v>0.1</v>
      </c>
      <c r="AZ64" s="72"/>
      <c r="BB64" s="275"/>
      <c r="BC64" s="214"/>
      <c r="BD64" s="214"/>
      <c r="BE64" s="117">
        <f>($AR$70*(BE48/$BE$54))*(1+BB64)</f>
        <v>2.865679875465477E-2</v>
      </c>
      <c r="BF64" s="74">
        <f>BF48</f>
        <v>252</v>
      </c>
      <c r="BG64" s="116">
        <f>BF64*BE64*15</f>
        <v>108.32269929259502</v>
      </c>
      <c r="BJ64" s="72"/>
    </row>
    <row r="65" spans="1:62" x14ac:dyDescent="0.25">
      <c r="B65" s="91" t="s">
        <v>167</v>
      </c>
      <c r="C65" s="188">
        <v>2015</v>
      </c>
      <c r="D65" s="256"/>
      <c r="E65" s="230"/>
      <c r="F65" s="259"/>
      <c r="G65" s="256"/>
      <c r="H65" s="230"/>
      <c r="I65" s="259"/>
      <c r="J65" s="256"/>
      <c r="K65" s="230"/>
      <c r="L65" s="259"/>
      <c r="M65" s="230"/>
      <c r="N65" s="230"/>
      <c r="O65" s="258"/>
      <c r="P65" s="256"/>
      <c r="Q65" s="230"/>
      <c r="R65" s="257"/>
      <c r="S65" s="256"/>
      <c r="T65" s="230"/>
      <c r="U65" s="255"/>
      <c r="V65" s="115"/>
      <c r="W65" s="114"/>
      <c r="X65" s="126"/>
      <c r="Y65" s="115"/>
      <c r="Z65" s="114"/>
      <c r="AA65" s="123"/>
      <c r="AB65" s="115">
        <f t="shared" si="38"/>
        <v>1</v>
      </c>
      <c r="AC65" s="114">
        <f>AC49</f>
        <v>258</v>
      </c>
      <c r="AD65" s="123">
        <v>4128.9110981575959</v>
      </c>
      <c r="AF65" s="122">
        <v>7</v>
      </c>
      <c r="AG65" s="214">
        <v>258</v>
      </c>
      <c r="AH65" s="121">
        <v>27090</v>
      </c>
      <c r="AJ65" s="122">
        <f t="shared" si="39"/>
        <v>3</v>
      </c>
      <c r="AK65" s="214">
        <v>258</v>
      </c>
      <c r="AL65" s="121">
        <v>11487.4</v>
      </c>
      <c r="AM65" s="80">
        <f t="shared" si="37"/>
        <v>-15602.6</v>
      </c>
      <c r="AO65" s="275"/>
      <c r="AP65" s="214"/>
      <c r="AQ65" s="118"/>
      <c r="AR65" s="117">
        <f>($AJ$70*(AR49/$AR$54))*(1+AO65)</f>
        <v>1.5071696329018172</v>
      </c>
      <c r="AS65" s="74">
        <f t="shared" si="40"/>
        <v>258</v>
      </c>
      <c r="AT65" s="120">
        <f t="shared" si="41"/>
        <v>5832.7464793300323</v>
      </c>
      <c r="AU65" s="86"/>
      <c r="AV65" s="64">
        <f t="shared" si="42"/>
        <v>-1.4928303670981828</v>
      </c>
      <c r="AW65" s="80">
        <f t="shared" si="43"/>
        <v>-5654.6535206699673</v>
      </c>
      <c r="AY65" s="60">
        <v>0.1</v>
      </c>
      <c r="AZ65" s="72"/>
      <c r="BB65" s="275"/>
      <c r="BC65" s="214"/>
      <c r="BD65" s="118"/>
      <c r="BE65" s="117">
        <f>($AR$70*(BE49/$BE$54))*(1+BB65)</f>
        <v>1.4247403192854995</v>
      </c>
      <c r="BF65" s="74">
        <f>BF49</f>
        <v>258</v>
      </c>
      <c r="BG65" s="116">
        <f>BF65*BE65*15</f>
        <v>5513.7450356348827</v>
      </c>
      <c r="BH65" s="86"/>
      <c r="BJ65" s="72"/>
    </row>
    <row r="66" spans="1:62" x14ac:dyDescent="0.25">
      <c r="B66" s="91" t="s">
        <v>167</v>
      </c>
      <c r="C66" s="188">
        <v>2016</v>
      </c>
      <c r="D66" s="256"/>
      <c r="E66" s="230"/>
      <c r="F66" s="259"/>
      <c r="G66" s="256"/>
      <c r="H66" s="230"/>
      <c r="I66" s="259"/>
      <c r="J66" s="256"/>
      <c r="K66" s="230"/>
      <c r="L66" s="259"/>
      <c r="M66" s="230"/>
      <c r="N66" s="230"/>
      <c r="O66" s="258"/>
      <c r="P66" s="256"/>
      <c r="Q66" s="230"/>
      <c r="R66" s="257"/>
      <c r="S66" s="256"/>
      <c r="T66" s="230"/>
      <c r="U66" s="255"/>
      <c r="V66" s="115"/>
      <c r="W66" s="114"/>
      <c r="X66" s="126"/>
      <c r="Y66" s="115"/>
      <c r="Z66" s="114"/>
      <c r="AA66" s="123"/>
      <c r="AB66" s="115"/>
      <c r="AC66" s="114"/>
      <c r="AD66" s="123"/>
      <c r="AF66" s="122">
        <v>0</v>
      </c>
      <c r="AG66" s="214">
        <v>272</v>
      </c>
      <c r="AH66" s="121">
        <v>0</v>
      </c>
      <c r="AJ66" s="122">
        <f t="shared" si="39"/>
        <v>2</v>
      </c>
      <c r="AK66" s="214">
        <v>272</v>
      </c>
      <c r="AL66" s="121">
        <v>6192.64</v>
      </c>
      <c r="AM66" s="80">
        <f t="shared" si="37"/>
        <v>6192.64</v>
      </c>
      <c r="AO66" s="275"/>
      <c r="AP66" s="214"/>
      <c r="AQ66" s="118"/>
      <c r="AR66" s="117">
        <f>($AJ$70*(AR50/$AR$54))*(1+AO66)</f>
        <v>2.6296309836037368</v>
      </c>
      <c r="AS66" s="74">
        <f t="shared" si="40"/>
        <v>272</v>
      </c>
      <c r="AT66" s="120">
        <f t="shared" si="41"/>
        <v>10728.894413103248</v>
      </c>
      <c r="AU66" s="86"/>
      <c r="AV66" s="64">
        <f t="shared" si="42"/>
        <v>0.62963098360373682</v>
      </c>
      <c r="AW66" s="80">
        <f t="shared" si="43"/>
        <v>4536.2544131032473</v>
      </c>
      <c r="AY66" s="60">
        <v>0.1</v>
      </c>
      <c r="AZ66" s="72"/>
      <c r="BB66" s="275"/>
      <c r="BC66" s="214"/>
      <c r="BD66" s="118"/>
      <c r="BE66" s="117">
        <f>($AR$70*(BE50/$BE$54))*(1+BB66)</f>
        <v>1.9254975526584497</v>
      </c>
      <c r="BF66" s="74">
        <f>BF50</f>
        <v>271.5</v>
      </c>
      <c r="BG66" s="116">
        <f>BF66*BE66*15</f>
        <v>7841.588783201536</v>
      </c>
      <c r="BH66" s="86"/>
      <c r="BJ66" s="72"/>
    </row>
    <row r="67" spans="1:62" x14ac:dyDescent="0.25">
      <c r="B67" s="91" t="s">
        <v>167</v>
      </c>
      <c r="C67" s="188">
        <v>2017</v>
      </c>
      <c r="D67" s="256"/>
      <c r="E67" s="230"/>
      <c r="F67" s="259"/>
      <c r="G67" s="256"/>
      <c r="H67" s="230"/>
      <c r="I67" s="259"/>
      <c r="J67" s="256"/>
      <c r="K67" s="230"/>
      <c r="L67" s="259"/>
      <c r="M67" s="230"/>
      <c r="N67" s="230"/>
      <c r="O67" s="258"/>
      <c r="P67" s="256"/>
      <c r="Q67" s="230"/>
      <c r="R67" s="257"/>
      <c r="S67" s="256"/>
      <c r="T67" s="230"/>
      <c r="U67" s="255"/>
      <c r="V67" s="115"/>
      <c r="W67" s="114"/>
      <c r="X67" s="126"/>
      <c r="Y67" s="115"/>
      <c r="Z67" s="114"/>
      <c r="AA67" s="123"/>
      <c r="AB67" s="115"/>
      <c r="AC67" s="114"/>
      <c r="AD67" s="123"/>
      <c r="AF67" s="122"/>
      <c r="AG67" s="214"/>
      <c r="AH67" s="121"/>
      <c r="AJ67" s="122"/>
      <c r="AK67" s="214"/>
      <c r="AL67" s="121"/>
      <c r="AO67" s="254">
        <v>-0.03</v>
      </c>
      <c r="AP67" s="214"/>
      <c r="AQ67" s="118">
        <f>AQ51</f>
        <v>6.6176470588235295E-2</v>
      </c>
      <c r="AR67" s="117">
        <f>($AJ$70*(AR51/$AR$54))*(1+AO67)</f>
        <v>2.7051003284408202</v>
      </c>
      <c r="AS67" s="74">
        <f t="shared" si="40"/>
        <v>290</v>
      </c>
      <c r="AT67" s="120">
        <f t="shared" si="41"/>
        <v>11767.186428717567</v>
      </c>
      <c r="AU67" s="86"/>
      <c r="AW67" s="80"/>
      <c r="AY67" s="60">
        <v>0.1</v>
      </c>
      <c r="AZ67" s="72"/>
      <c r="BB67" s="275"/>
      <c r="BC67" s="214"/>
      <c r="BD67" s="118"/>
      <c r="BE67" s="117">
        <f>($AR$70*(BE51/$BE$54))*(1+BB67)</f>
        <v>2.1241436784825627</v>
      </c>
      <c r="BF67" s="74">
        <f>BF51</f>
        <v>289.5</v>
      </c>
      <c r="BG67" s="116">
        <f>BF67*BE67*15</f>
        <v>9224.0939238105275</v>
      </c>
      <c r="BH67" s="86"/>
      <c r="BJ67" s="72"/>
    </row>
    <row r="68" spans="1:62" x14ac:dyDescent="0.25">
      <c r="B68" s="91"/>
      <c r="C68" s="188"/>
      <c r="D68" s="256"/>
      <c r="E68" s="230"/>
      <c r="F68" s="259"/>
      <c r="G68" s="256"/>
      <c r="H68" s="230"/>
      <c r="I68" s="259"/>
      <c r="J68" s="256"/>
      <c r="K68" s="230"/>
      <c r="L68" s="259"/>
      <c r="M68" s="230"/>
      <c r="N68" s="230"/>
      <c r="O68" s="258"/>
      <c r="P68" s="256"/>
      <c r="Q68" s="230"/>
      <c r="R68" s="257"/>
      <c r="S68" s="256"/>
      <c r="T68" s="230"/>
      <c r="U68" s="255"/>
      <c r="V68" s="115"/>
      <c r="W68" s="114"/>
      <c r="X68" s="126"/>
      <c r="Y68" s="115"/>
      <c r="Z68" s="114"/>
      <c r="AA68" s="123"/>
      <c r="AB68" s="115"/>
      <c r="AC68" s="114"/>
      <c r="AD68" s="123"/>
      <c r="AF68" s="122"/>
      <c r="AG68" s="214"/>
      <c r="AH68" s="261"/>
      <c r="AJ68" s="122"/>
      <c r="AK68" s="214"/>
      <c r="AL68" s="261"/>
      <c r="AO68" s="122"/>
      <c r="AP68" s="214"/>
      <c r="AQ68" s="214"/>
      <c r="AR68" s="117"/>
      <c r="AS68" s="74"/>
      <c r="AT68" s="260"/>
      <c r="AW68" s="80"/>
      <c r="BB68" s="254">
        <f>BB52</f>
        <v>0</v>
      </c>
      <c r="BC68" s="214"/>
      <c r="BD68" s="118">
        <f>BD52</f>
        <v>2.9310344827586206E-2</v>
      </c>
      <c r="BE68" s="117">
        <f>($AR$70*(BE52/$BE$54))*(1+BB68)</f>
        <v>2.3223570435414111</v>
      </c>
      <c r="BF68" s="74">
        <f>BF52</f>
        <v>298.5</v>
      </c>
      <c r="BG68" s="116">
        <f>BF68*BE68*15</f>
        <v>10398.35366245667</v>
      </c>
    </row>
    <row r="69" spans="1:62" x14ac:dyDescent="0.25">
      <c r="B69" s="91"/>
      <c r="C69" s="188"/>
      <c r="D69" s="256"/>
      <c r="E69" s="230"/>
      <c r="F69" s="259"/>
      <c r="G69" s="256"/>
      <c r="H69" s="230"/>
      <c r="I69" s="259"/>
      <c r="J69" s="256"/>
      <c r="K69" s="230"/>
      <c r="L69" s="259"/>
      <c r="M69" s="230"/>
      <c r="N69" s="230"/>
      <c r="O69" s="258"/>
      <c r="P69" s="256"/>
      <c r="Q69" s="230"/>
      <c r="R69" s="257"/>
      <c r="S69" s="256"/>
      <c r="T69" s="230"/>
      <c r="U69" s="255"/>
      <c r="V69" s="115"/>
      <c r="W69" s="114"/>
      <c r="X69" s="126"/>
      <c r="Y69" s="115"/>
      <c r="Z69" s="114"/>
      <c r="AA69" s="123"/>
      <c r="AB69" s="115"/>
      <c r="AC69" s="114"/>
      <c r="AD69" s="123"/>
      <c r="AF69" s="122"/>
      <c r="AG69" s="214"/>
      <c r="AH69" s="261"/>
      <c r="AJ69" s="122"/>
      <c r="AK69" s="214"/>
      <c r="AL69" s="261"/>
      <c r="AO69" s="122"/>
      <c r="AP69" s="214"/>
      <c r="AQ69" s="214"/>
      <c r="AR69" s="117"/>
      <c r="AS69" s="74"/>
      <c r="AT69" s="260"/>
      <c r="AW69" s="80"/>
      <c r="BB69" s="122"/>
      <c r="BC69" s="214"/>
      <c r="BD69" s="214"/>
      <c r="BE69" s="117"/>
      <c r="BF69" s="74"/>
      <c r="BG69" s="127"/>
    </row>
    <row r="70" spans="1:62" s="59" customFormat="1" x14ac:dyDescent="0.25">
      <c r="B70" s="274" t="s">
        <v>166</v>
      </c>
      <c r="C70" s="169"/>
      <c r="D70" s="265">
        <f>SUM(D56:D65)</f>
        <v>8</v>
      </c>
      <c r="E70" s="186">
        <f>ROUND((F70/D70)/45,0)</f>
        <v>150</v>
      </c>
      <c r="F70" s="268">
        <f>SUM(F56:F65)</f>
        <v>54036</v>
      </c>
      <c r="G70" s="265">
        <f>SUM(G56:G65)</f>
        <v>9</v>
      </c>
      <c r="H70" s="186">
        <f>ROUND((I70/G70)/45,0)</f>
        <v>155</v>
      </c>
      <c r="I70" s="268">
        <f>SUM(I56:I65)</f>
        <v>62866.71</v>
      </c>
      <c r="J70" s="265">
        <f>SUM(J56:J65)</f>
        <v>9</v>
      </c>
      <c r="K70" s="186">
        <f>ROUND((L70/J70)/45,0)</f>
        <v>152</v>
      </c>
      <c r="L70" s="268">
        <f>SUM(L56:L65)</f>
        <v>61365</v>
      </c>
      <c r="M70" s="186">
        <f>SUM(M56:M65)</f>
        <v>11</v>
      </c>
      <c r="N70" s="186">
        <f>ROUND((O70/M70)/45,0)</f>
        <v>174</v>
      </c>
      <c r="O70" s="267">
        <f>SUM(O56:O65)</f>
        <v>86109.239999999991</v>
      </c>
      <c r="P70" s="265">
        <f>SUM(P56:P65)</f>
        <v>12</v>
      </c>
      <c r="Q70" s="186">
        <f>ROUND((R70/P70)/45,0)</f>
        <v>197</v>
      </c>
      <c r="R70" s="266">
        <f>SUM(R56:R65)</f>
        <v>106630.09</v>
      </c>
      <c r="S70" s="265">
        <f>SUM(S56:S65)</f>
        <v>11</v>
      </c>
      <c r="T70" s="186">
        <f>ROUND((U70/S70)/45,0)</f>
        <v>229</v>
      </c>
      <c r="U70" s="185">
        <f>SUM(U56:U65)</f>
        <v>113498.91</v>
      </c>
      <c r="V70" s="184">
        <f>SUM(V56:V65)</f>
        <v>11</v>
      </c>
      <c r="W70" s="183">
        <f>ROUND((X70/V70)/45,0)</f>
        <v>226</v>
      </c>
      <c r="X70" s="182">
        <f>SUM(X56:X65)</f>
        <v>111674.6</v>
      </c>
      <c r="Y70" s="184">
        <f>SUM(Y56:Y68)</f>
        <v>40</v>
      </c>
      <c r="Z70" s="183">
        <v>233</v>
      </c>
      <c r="AA70" s="161">
        <f>SUM(AA56:AA65)</f>
        <v>140033.71999999997</v>
      </c>
      <c r="AB70" s="184">
        <f>SUM(AB56:AB65)</f>
        <v>39</v>
      </c>
      <c r="AC70" s="183">
        <f>ROUND((AD70/AB70)/15,0)</f>
        <v>239</v>
      </c>
      <c r="AD70" s="161">
        <f>SUM(AD56:AD68)</f>
        <v>139964.05000000002</v>
      </c>
      <c r="AF70" s="181">
        <f>SUM(AF56:AF69)</f>
        <v>36</v>
      </c>
      <c r="AG70" s="180">
        <f>ROUND((AH70/AF70)/15,0)</f>
        <v>242</v>
      </c>
      <c r="AH70" s="179">
        <f>SUM(AH56:AH69)</f>
        <v>130560</v>
      </c>
      <c r="AJ70" s="181">
        <f>SUM(AJ56:AJ66)</f>
        <v>26</v>
      </c>
      <c r="AK70" s="180">
        <f>ROUND((AL70/AJ70)/15,0)</f>
        <v>232</v>
      </c>
      <c r="AL70" s="179">
        <f>SUM(AL56:AL68)</f>
        <v>90398.17</v>
      </c>
      <c r="AM70" s="80">
        <f>AL70-AH70</f>
        <v>-40161.83</v>
      </c>
      <c r="AO70" s="272">
        <f>(AR70-AJ70)/AJ70</f>
        <v>-2.2067400899786094E-2</v>
      </c>
      <c r="AP70" s="180"/>
      <c r="AQ70" s="271">
        <f>(AS70-AK70)/AK70</f>
        <v>0.10344827586206896</v>
      </c>
      <c r="AR70" s="177">
        <f>SUM(AR56:AR68)</f>
        <v>25.426247576605562</v>
      </c>
      <c r="AS70" s="176">
        <f>ROUND((AT70/AR70)/15,0)</f>
        <v>256</v>
      </c>
      <c r="AT70" s="178">
        <f>SUM(AT56:AT68)</f>
        <v>97588.091290421391</v>
      </c>
      <c r="AV70" s="64">
        <f>AR70-AJ70</f>
        <v>-0.57375242339443844</v>
      </c>
      <c r="AW70" s="273">
        <f>AT70-AL70</f>
        <v>7189.9212904213928</v>
      </c>
      <c r="AY70" s="60">
        <v>0.1</v>
      </c>
      <c r="AZ70" s="72"/>
      <c r="BB70" s="272">
        <f>(BE70-AR70)/AR70</f>
        <v>7.1083301304442428E-4</v>
      </c>
      <c r="BC70" s="180"/>
      <c r="BD70" s="271">
        <f>(BF70-AS70)/AS70</f>
        <v>2.734375E-2</v>
      </c>
      <c r="BE70" s="177">
        <f>SUM(BE56:BE68)</f>
        <v>25.444321392780854</v>
      </c>
      <c r="BF70" s="176">
        <f>ROUND((BG70/BE70)/15,0)</f>
        <v>263</v>
      </c>
      <c r="BG70" s="175">
        <f>SUM(BG56:BG68)</f>
        <v>100478.49605461911</v>
      </c>
      <c r="BI70" s="60"/>
      <c r="BJ70" s="72"/>
    </row>
    <row r="71" spans="1:62" x14ac:dyDescent="0.25">
      <c r="B71" s="91"/>
      <c r="C71" s="188"/>
      <c r="D71" s="256"/>
      <c r="E71" s="230"/>
      <c r="F71" s="259"/>
      <c r="G71" s="256"/>
      <c r="H71" s="230"/>
      <c r="I71" s="259"/>
      <c r="J71" s="256"/>
      <c r="K71" s="230"/>
      <c r="L71" s="259"/>
      <c r="M71" s="230"/>
      <c r="N71" s="230"/>
      <c r="O71" s="258"/>
      <c r="P71" s="256"/>
      <c r="Q71" s="230"/>
      <c r="R71" s="257"/>
      <c r="S71" s="256"/>
      <c r="T71" s="230"/>
      <c r="U71" s="255"/>
      <c r="V71" s="115"/>
      <c r="W71" s="114"/>
      <c r="X71" s="126"/>
      <c r="Y71" s="115"/>
      <c r="Z71" s="114"/>
      <c r="AA71" s="126"/>
      <c r="AB71" s="115"/>
      <c r="AC71" s="114"/>
      <c r="AD71" s="126"/>
      <c r="AF71" s="122"/>
      <c r="AG71" s="214"/>
      <c r="AH71" s="261"/>
      <c r="AJ71" s="122">
        <f>AJ56/AJ70</f>
        <v>0.61538461538461542</v>
      </c>
      <c r="AK71" s="214"/>
      <c r="AL71" s="261"/>
      <c r="AO71" s="122"/>
      <c r="AP71" s="214"/>
      <c r="AQ71" s="214"/>
      <c r="AR71" s="117"/>
      <c r="AS71" s="74"/>
      <c r="AT71" s="260"/>
      <c r="AW71" s="80"/>
      <c r="BB71" s="122"/>
      <c r="BC71" s="214"/>
      <c r="BD71" s="214"/>
      <c r="BE71" s="117"/>
      <c r="BF71" s="74"/>
      <c r="BG71" s="127"/>
    </row>
    <row r="72" spans="1:62" s="59" customFormat="1" x14ac:dyDescent="0.25">
      <c r="A72" s="59" t="s">
        <v>165</v>
      </c>
      <c r="C72" s="169"/>
      <c r="D72" s="250">
        <f>SUM(D54,D70)</f>
        <v>329</v>
      </c>
      <c r="E72" s="249">
        <f>ROUND((F72/D72)/45,0)</f>
        <v>151</v>
      </c>
      <c r="F72" s="253">
        <f>SUM(F54,F70)</f>
        <v>2240246.0699999998</v>
      </c>
      <c r="G72" s="250">
        <f>SUM(G54,G70)</f>
        <v>395</v>
      </c>
      <c r="H72" s="249">
        <f>ROUND((I72/G72)/45,0)</f>
        <v>164</v>
      </c>
      <c r="I72" s="253">
        <f>SUM(I54,I70)</f>
        <v>2917858.27</v>
      </c>
      <c r="J72" s="250">
        <f>SUM(J54,J70)</f>
        <v>443</v>
      </c>
      <c r="K72" s="249">
        <f>ROUND((L72/J72)/45,0)</f>
        <v>175</v>
      </c>
      <c r="L72" s="253">
        <f>SUM(L54,L70)</f>
        <v>3497291.0999999996</v>
      </c>
      <c r="M72" s="250">
        <f>SUM(M54,M70)</f>
        <v>487</v>
      </c>
      <c r="N72" s="249">
        <f>ROUND((O72/M72)/45,0)</f>
        <v>188</v>
      </c>
      <c r="O72" s="252">
        <f>SUM(O54,O70)</f>
        <v>4110351.1000000006</v>
      </c>
      <c r="P72" s="250">
        <f>SUM(P54,P70)</f>
        <v>503</v>
      </c>
      <c r="Q72" s="249">
        <f>ROUND((R72/P72)/45,0)</f>
        <v>200</v>
      </c>
      <c r="R72" s="251">
        <f>SUM(R54,R70)</f>
        <v>4529924.51</v>
      </c>
      <c r="S72" s="250">
        <f>SUM(S54,S70)</f>
        <v>558</v>
      </c>
      <c r="T72" s="249">
        <f>ROUND((U72/S72)/45,0)</f>
        <v>214</v>
      </c>
      <c r="U72" s="248">
        <f>SUM(U54,U70)</f>
        <v>5382297.9700000007</v>
      </c>
      <c r="V72" s="269">
        <f>SUM(V54,V70)</f>
        <v>609</v>
      </c>
      <c r="W72" s="245">
        <f>ROUND((X72/V72)/45,0)</f>
        <v>224</v>
      </c>
      <c r="X72" s="244">
        <f>SUM(X54,X70)</f>
        <v>6145647.9900000002</v>
      </c>
      <c r="Y72" s="247">
        <f>SUM(Y54,Y70)</f>
        <v>621</v>
      </c>
      <c r="Z72" s="245">
        <v>220</v>
      </c>
      <c r="AA72" s="244">
        <f>SUM(AA54,AA70)</f>
        <v>6151978.0599999996</v>
      </c>
      <c r="AB72" s="247">
        <f>SUM(AB54,AB70)</f>
        <v>640</v>
      </c>
      <c r="AC72" s="245">
        <f>ROUND((AD72/AB72)/45,0)</f>
        <v>227</v>
      </c>
      <c r="AD72" s="244">
        <f>SUM(AD54,AD70)</f>
        <v>6539930.7400000002</v>
      </c>
      <c r="AF72" s="243">
        <f>SUM(AF54,AF70)</f>
        <v>615</v>
      </c>
      <c r="AG72" s="242">
        <f>ROUND((AH72/AF72)/45,0)</f>
        <v>234</v>
      </c>
      <c r="AH72" s="241">
        <f>SUM(AH54,AH70)</f>
        <v>6482445</v>
      </c>
      <c r="AJ72" s="243">
        <f>SUM(AJ54,AJ70)</f>
        <v>661</v>
      </c>
      <c r="AK72" s="242">
        <f>ROUND((AL72/AJ72)/45,0)</f>
        <v>236</v>
      </c>
      <c r="AL72" s="241">
        <f>SUM(AL54,AL70)</f>
        <v>7008523.04</v>
      </c>
      <c r="AM72" s="240">
        <f>AL72-AH72</f>
        <v>526078.04</v>
      </c>
      <c r="AO72" s="236">
        <f>(AR72-AJ72)/AJ72</f>
        <v>-2.3560896253244278E-2</v>
      </c>
      <c r="AP72" s="242"/>
      <c r="AQ72" s="234">
        <f>(AS72-AK72)/AK72</f>
        <v>5.5084745762711863E-2</v>
      </c>
      <c r="AR72" s="233">
        <f>SUM(AR54,AR70)</f>
        <v>645.42624757660553</v>
      </c>
      <c r="AS72" s="232">
        <f>ROUND((AT72/AR72)/45,0)</f>
        <v>249</v>
      </c>
      <c r="AT72" s="239">
        <f>SUM(AT54,AT70)</f>
        <v>7240267.7851724764</v>
      </c>
      <c r="AV72" s="238">
        <f>AR72-AJ72</f>
        <v>-15.573752423394467</v>
      </c>
      <c r="AW72" s="237">
        <f>AT72-AL72</f>
        <v>231744.7451724764</v>
      </c>
      <c r="AY72" s="60">
        <v>0.1</v>
      </c>
      <c r="AZ72" s="72"/>
      <c r="BB72" s="236">
        <f>(BE72-AR72)/AR72</f>
        <v>2.8002914729818269E-5</v>
      </c>
      <c r="BC72" s="242"/>
      <c r="BD72" s="234">
        <f>(BF72-AS72)/AS72</f>
        <v>3.2128514056224897E-2</v>
      </c>
      <c r="BE72" s="233">
        <f>SUM(BE54,BE70)</f>
        <v>645.44432139278081</v>
      </c>
      <c r="BF72" s="232">
        <f>ROUND((BG72/BE72)/45,0)</f>
        <v>257</v>
      </c>
      <c r="BG72" s="231">
        <f>SUM(BG54,BG70)</f>
        <v>7450757.065415645</v>
      </c>
      <c r="BI72" s="60"/>
      <c r="BJ72" s="72"/>
    </row>
    <row r="73" spans="1:62" x14ac:dyDescent="0.25">
      <c r="B73" s="91"/>
      <c r="C73" s="188"/>
      <c r="D73" s="256"/>
      <c r="E73" s="230"/>
      <c r="F73" s="259"/>
      <c r="G73" s="256"/>
      <c r="H73" s="230"/>
      <c r="I73" s="259"/>
      <c r="J73" s="256"/>
      <c r="K73" s="230"/>
      <c r="L73" s="259"/>
      <c r="M73" s="230"/>
      <c r="N73" s="230"/>
      <c r="O73" s="258"/>
      <c r="P73" s="256"/>
      <c r="Q73" s="230"/>
      <c r="R73" s="257"/>
      <c r="S73" s="256"/>
      <c r="T73" s="230"/>
      <c r="U73" s="255"/>
      <c r="V73" s="115"/>
      <c r="W73" s="114"/>
      <c r="X73" s="126"/>
      <c r="Y73" s="115"/>
      <c r="Z73" s="114"/>
      <c r="AA73" s="126"/>
      <c r="AB73" s="115"/>
      <c r="AC73" s="114"/>
      <c r="AD73" s="126"/>
      <c r="AF73" s="122"/>
      <c r="AG73" s="214"/>
      <c r="AH73" s="261"/>
      <c r="AJ73" s="122"/>
      <c r="AK73" s="214"/>
      <c r="AL73" s="261"/>
      <c r="AO73" s="122"/>
      <c r="AP73" s="214"/>
      <c r="AQ73" s="214"/>
      <c r="AR73" s="117"/>
      <c r="AS73" s="74"/>
      <c r="AT73" s="260"/>
      <c r="AU73" s="160"/>
      <c r="AV73" s="270"/>
      <c r="AW73" s="80"/>
      <c r="BB73" s="122"/>
      <c r="BC73" s="214"/>
      <c r="BD73" s="214"/>
      <c r="BE73" s="117"/>
      <c r="BF73" s="74"/>
      <c r="BG73" s="127"/>
      <c r="BH73" s="160"/>
    </row>
    <row r="74" spans="1:62" x14ac:dyDescent="0.25">
      <c r="B74" s="91" t="s">
        <v>164</v>
      </c>
      <c r="C74" s="188"/>
      <c r="D74" s="256">
        <f>ROUND((F74/E74)/45,0)</f>
        <v>176</v>
      </c>
      <c r="E74" s="230">
        <v>335</v>
      </c>
      <c r="F74" s="259">
        <v>2647187</v>
      </c>
      <c r="G74" s="256">
        <f>ROUND((I74/H74)/45,0)</f>
        <v>251</v>
      </c>
      <c r="H74" s="230">
        <v>350</v>
      </c>
      <c r="I74" s="259">
        <v>3947721</v>
      </c>
      <c r="J74" s="256">
        <f>ROUND((L74/K74)/45,0)</f>
        <v>242</v>
      </c>
      <c r="K74" s="230">
        <v>371</v>
      </c>
      <c r="L74" s="259">
        <v>4042517</v>
      </c>
      <c r="M74" s="230">
        <f>ROUND((O74/N74)/45,0)</f>
        <v>231</v>
      </c>
      <c r="N74" s="230">
        <v>390</v>
      </c>
      <c r="O74" s="258">
        <v>4060246</v>
      </c>
      <c r="P74" s="256">
        <f>ROUND((R74/Q74)/45,0)</f>
        <v>197</v>
      </c>
      <c r="Q74" s="230">
        <v>408</v>
      </c>
      <c r="R74" s="257">
        <v>3621687</v>
      </c>
      <c r="S74" s="256">
        <f>ROUND((U74/T74)/45,0)</f>
        <v>226</v>
      </c>
      <c r="T74" s="230">
        <v>437</v>
      </c>
      <c r="U74" s="255">
        <v>4447981.9400000004</v>
      </c>
      <c r="V74" s="115">
        <f>ROUND((X74/W74)/45,0)</f>
        <v>264</v>
      </c>
      <c r="W74" s="114">
        <v>450</v>
      </c>
      <c r="X74" s="123">
        <f>'[1]NR UG Tuit'!N69</f>
        <v>5347083.74</v>
      </c>
      <c r="Y74" s="115">
        <f>ROUND((AA74/Z74)/45,0)</f>
        <v>264</v>
      </c>
      <c r="Z74" s="114">
        <v>459</v>
      </c>
      <c r="AA74" s="123">
        <v>5462194.3899999997</v>
      </c>
      <c r="AB74" s="115">
        <f>ROUND((AD74/AC74)/45,0)</f>
        <v>237</v>
      </c>
      <c r="AC74" s="114">
        <v>469</v>
      </c>
      <c r="AD74" s="123">
        <v>5002911.919999999</v>
      </c>
      <c r="AF74" s="122">
        <v>237</v>
      </c>
      <c r="AG74" s="214">
        <v>483</v>
      </c>
      <c r="AH74" s="121">
        <v>5151195</v>
      </c>
      <c r="AJ74" s="122">
        <f>ROUND((AL74/AK74)/45,0)</f>
        <v>217</v>
      </c>
      <c r="AK74" s="214">
        <v>483</v>
      </c>
      <c r="AL74" s="121">
        <v>4716882.6900000004</v>
      </c>
      <c r="AM74" s="80">
        <f>AL74-AH74</f>
        <v>-434312.30999999959</v>
      </c>
      <c r="AO74" s="254">
        <v>-0.03</v>
      </c>
      <c r="AP74" s="214"/>
      <c r="AQ74" s="118">
        <v>0.1</v>
      </c>
      <c r="AR74" s="117">
        <f>AJ74*(1+AO74)</f>
        <v>210.48999999999998</v>
      </c>
      <c r="AS74" s="74">
        <f>ROUND(AK74*(1+AQ74),0)</f>
        <v>531</v>
      </c>
      <c r="AT74" s="120">
        <f>AS74*AR74*45</f>
        <v>5029658.55</v>
      </c>
      <c r="AU74" s="86"/>
      <c r="AV74" s="64">
        <f>AR74-AJ74</f>
        <v>-6.5100000000000193</v>
      </c>
      <c r="AW74" s="80">
        <f>AT74-AL74</f>
        <v>312775.8599999994</v>
      </c>
      <c r="AY74" s="60">
        <v>0.1</v>
      </c>
      <c r="AZ74" s="72"/>
      <c r="BB74" s="254">
        <f>'[1]10-yr Projection'!D90</f>
        <v>0</v>
      </c>
      <c r="BC74" s="214"/>
      <c r="BD74" s="118">
        <f>'[1]10-yr Projection'!D103</f>
        <v>0.03</v>
      </c>
      <c r="BE74" s="117">
        <f>AR74*(1+BB74)</f>
        <v>210.48999999999998</v>
      </c>
      <c r="BF74" s="74">
        <f>ROUND(AS74*(1+BD74),0)</f>
        <v>547</v>
      </c>
      <c r="BG74" s="116">
        <f>BF74*BE74*45</f>
        <v>5181211.3499999996</v>
      </c>
      <c r="BH74" s="86"/>
      <c r="BJ74" s="72"/>
    </row>
    <row r="75" spans="1:62" x14ac:dyDescent="0.25">
      <c r="B75" s="91" t="s">
        <v>163</v>
      </c>
      <c r="C75" s="188"/>
      <c r="D75" s="256">
        <f>ROUND((F75/E75)/45,0)</f>
        <v>12</v>
      </c>
      <c r="E75" s="230">
        <v>144</v>
      </c>
      <c r="F75" s="259">
        <v>76271</v>
      </c>
      <c r="G75" s="256">
        <f>ROUND((I75/H75)/45,0)</f>
        <v>13</v>
      </c>
      <c r="H75" s="230">
        <v>335</v>
      </c>
      <c r="I75" s="259">
        <v>189065</v>
      </c>
      <c r="J75" s="256">
        <f>ROUND((L75/K75)/45,0)</f>
        <v>18</v>
      </c>
      <c r="K75" s="230">
        <v>350</v>
      </c>
      <c r="L75" s="259">
        <v>281343</v>
      </c>
      <c r="M75" s="230">
        <f>ROUND((O75/N75)/45,0)</f>
        <v>25</v>
      </c>
      <c r="N75" s="230">
        <v>371</v>
      </c>
      <c r="O75" s="258">
        <v>412146</v>
      </c>
      <c r="P75" s="256">
        <f>ROUND((R75/Q75)/45,0)</f>
        <v>19</v>
      </c>
      <c r="Q75" s="230">
        <v>390</v>
      </c>
      <c r="R75" s="257">
        <v>329950</v>
      </c>
      <c r="S75" s="256">
        <f>ROUND((U75/T75)/45,0)</f>
        <v>16</v>
      </c>
      <c r="T75" s="230">
        <v>408</v>
      </c>
      <c r="U75" s="255">
        <v>295286</v>
      </c>
      <c r="V75" s="115">
        <f>ROUND((X75/W75)/45,0)</f>
        <v>15</v>
      </c>
      <c r="W75" s="114">
        <v>450</v>
      </c>
      <c r="X75" s="123">
        <f>'[1]NR UG Tuit'!N73</f>
        <v>311493.40000000002</v>
      </c>
      <c r="Y75" s="115">
        <f>ROUND((AA75/Z75)/15,0)</f>
        <v>51</v>
      </c>
      <c r="Z75" s="114">
        <v>459</v>
      </c>
      <c r="AA75" s="123">
        <v>353311.88</v>
      </c>
      <c r="AB75" s="115">
        <f>ROUND((AD75/AC75)/15,0)</f>
        <v>50</v>
      </c>
      <c r="AC75" s="114">
        <v>469</v>
      </c>
      <c r="AD75" s="123">
        <v>353748.19</v>
      </c>
      <c r="AF75" s="122">
        <v>50</v>
      </c>
      <c r="AG75" s="214">
        <v>483</v>
      </c>
      <c r="AH75" s="121">
        <v>362250</v>
      </c>
      <c r="AJ75" s="122">
        <f>ROUND((AL75/AK75)/15,0)</f>
        <v>36</v>
      </c>
      <c r="AK75" s="214">
        <v>483</v>
      </c>
      <c r="AL75" s="121">
        <v>263301.33</v>
      </c>
      <c r="AM75" s="80">
        <f>AL75-AH75</f>
        <v>-98948.669999999984</v>
      </c>
      <c r="AO75" s="254">
        <v>-0.03</v>
      </c>
      <c r="AP75" s="214"/>
      <c r="AQ75" s="118">
        <v>0.1</v>
      </c>
      <c r="AR75" s="117">
        <f>AJ75*(1+AO75)</f>
        <v>34.92</v>
      </c>
      <c r="AS75" s="74">
        <f>ROUND(AK75*(1+AQ75),0)</f>
        <v>531</v>
      </c>
      <c r="AT75" s="120">
        <f>AS75*AR75*15</f>
        <v>278137.8</v>
      </c>
      <c r="AU75" s="86"/>
      <c r="AV75" s="64">
        <f>AR75-AJ75</f>
        <v>-1.0799999999999983</v>
      </c>
      <c r="AW75" s="80">
        <f>AT75-AL75</f>
        <v>14836.469999999972</v>
      </c>
      <c r="AY75" s="60">
        <v>0.1</v>
      </c>
      <c r="AZ75" s="72"/>
      <c r="BB75" s="254">
        <f>BB74</f>
        <v>0</v>
      </c>
      <c r="BC75" s="214"/>
      <c r="BD75" s="118">
        <f>BD74</f>
        <v>0.03</v>
      </c>
      <c r="BE75" s="117">
        <f>AR75*(1+BB75)</f>
        <v>34.92</v>
      </c>
      <c r="BF75" s="74">
        <f>ROUND(AS75*(1+BD75),0)</f>
        <v>547</v>
      </c>
      <c r="BG75" s="116">
        <f>BF75*BE75*15</f>
        <v>286518.60000000003</v>
      </c>
      <c r="BH75" s="86"/>
      <c r="BJ75" s="72"/>
    </row>
    <row r="76" spans="1:62" x14ac:dyDescent="0.25">
      <c r="B76" s="91"/>
      <c r="C76" s="188"/>
      <c r="D76" s="256"/>
      <c r="E76" s="230"/>
      <c r="F76" s="259"/>
      <c r="G76" s="256"/>
      <c r="H76" s="230"/>
      <c r="I76" s="259"/>
      <c r="J76" s="256"/>
      <c r="K76" s="230"/>
      <c r="L76" s="259"/>
      <c r="M76" s="230"/>
      <c r="N76" s="230"/>
      <c r="O76" s="258"/>
      <c r="P76" s="256"/>
      <c r="Q76" s="230"/>
      <c r="R76" s="257"/>
      <c r="S76" s="256"/>
      <c r="T76" s="230"/>
      <c r="U76" s="255"/>
      <c r="V76" s="115"/>
      <c r="W76" s="114"/>
      <c r="X76" s="126"/>
      <c r="Y76" s="115"/>
      <c r="Z76" s="114"/>
      <c r="AA76" s="126"/>
      <c r="AB76" s="115"/>
      <c r="AC76" s="114"/>
      <c r="AD76" s="126"/>
      <c r="AF76" s="122"/>
      <c r="AG76" s="214"/>
      <c r="AH76" s="261"/>
      <c r="AJ76" s="122"/>
      <c r="AK76" s="214"/>
      <c r="AL76" s="261"/>
      <c r="AO76" s="122"/>
      <c r="AP76" s="214"/>
      <c r="AQ76" s="214"/>
      <c r="AR76" s="117"/>
      <c r="AS76" s="74"/>
      <c r="AT76" s="260"/>
      <c r="AW76" s="80"/>
      <c r="BB76" s="122"/>
      <c r="BC76" s="214"/>
      <c r="BD76" s="214"/>
      <c r="BE76" s="117"/>
      <c r="BF76" s="74"/>
      <c r="BG76" s="127"/>
    </row>
    <row r="77" spans="1:62" s="59" customFormat="1" x14ac:dyDescent="0.25">
      <c r="B77" s="263" t="s">
        <v>162</v>
      </c>
      <c r="C77" s="169"/>
      <c r="D77" s="250">
        <f>SUM(D74:D76)</f>
        <v>188</v>
      </c>
      <c r="E77" s="249">
        <f>AVERAGE(E74:E76)</f>
        <v>239.5</v>
      </c>
      <c r="F77" s="253">
        <f>SUM(F74:F76)</f>
        <v>2723458</v>
      </c>
      <c r="G77" s="250">
        <f>SUM(G74:G76)</f>
        <v>264</v>
      </c>
      <c r="H77" s="249">
        <f>AVERAGE(H74:H76)</f>
        <v>342.5</v>
      </c>
      <c r="I77" s="253">
        <f>SUM(I74:I76)</f>
        <v>4136786</v>
      </c>
      <c r="J77" s="250">
        <f>SUM(J74:J76)</f>
        <v>260</v>
      </c>
      <c r="K77" s="249">
        <f>AVERAGE(K74:K76)</f>
        <v>360.5</v>
      </c>
      <c r="L77" s="253">
        <f>SUM(L74:L76)</f>
        <v>4323860</v>
      </c>
      <c r="M77" s="250">
        <f>SUM(M74:M76)</f>
        <v>256</v>
      </c>
      <c r="N77" s="249">
        <f>AVERAGE(N74:N76)</f>
        <v>380.5</v>
      </c>
      <c r="O77" s="252">
        <f>SUM(O74:O76)</f>
        <v>4472392</v>
      </c>
      <c r="P77" s="250">
        <f>SUM(P74:P76)</f>
        <v>216</v>
      </c>
      <c r="Q77" s="249">
        <f>AVERAGE(Q74:Q76)</f>
        <v>399</v>
      </c>
      <c r="R77" s="251">
        <f>SUM(R74:R76)</f>
        <v>3951637</v>
      </c>
      <c r="S77" s="250">
        <f>SUM(S74:S76)</f>
        <v>242</v>
      </c>
      <c r="T77" s="249">
        <f>AVERAGE(T74:T76)</f>
        <v>422.5</v>
      </c>
      <c r="U77" s="248">
        <f>SUM(U74:U76)</f>
        <v>4743267.9400000004</v>
      </c>
      <c r="V77" s="269">
        <f>SUM(V74:V76)</f>
        <v>279</v>
      </c>
      <c r="W77" s="245">
        <f>AVERAGE(W74:W76)</f>
        <v>450</v>
      </c>
      <c r="X77" s="244">
        <f>SUM(X74:X76)</f>
        <v>5658577.1400000006</v>
      </c>
      <c r="Y77" s="247">
        <f>SUM(Y74:Y76)</f>
        <v>315</v>
      </c>
      <c r="Z77" s="245"/>
      <c r="AA77" s="244">
        <f>SUM(AA74:AA76)</f>
        <v>5815506.2699999996</v>
      </c>
      <c r="AB77" s="247">
        <f>SUM(AB74:AB76)</f>
        <v>287</v>
      </c>
      <c r="AC77" s="245">
        <v>469</v>
      </c>
      <c r="AD77" s="244">
        <f>SUM(AD74:AD76)</f>
        <v>5356660.1099999994</v>
      </c>
      <c r="AF77" s="243">
        <f>SUM(AF74:AF76)</f>
        <v>287</v>
      </c>
      <c r="AG77" s="242">
        <f>AG74</f>
        <v>483</v>
      </c>
      <c r="AH77" s="241">
        <f>SUM(AH74:AH76)</f>
        <v>5513445</v>
      </c>
      <c r="AJ77" s="243">
        <f>SUM(AJ74:AJ76)</f>
        <v>253</v>
      </c>
      <c r="AK77" s="242">
        <f>AK74</f>
        <v>483</v>
      </c>
      <c r="AL77" s="241">
        <f>SUM(AL74:AL76)</f>
        <v>4980184.0200000005</v>
      </c>
      <c r="AM77" s="240">
        <f>AL77-AH77</f>
        <v>-533260.97999999952</v>
      </c>
      <c r="AO77" s="236">
        <f>(AR77-AJ77)/AJ77</f>
        <v>-3.0000000000000127E-2</v>
      </c>
      <c r="AP77" s="242"/>
      <c r="AQ77" s="234">
        <f>(AS77-AK77)/AK77</f>
        <v>9.9378881987577633E-2</v>
      </c>
      <c r="AR77" s="233">
        <f>SUM(AR74:AR76)</f>
        <v>245.40999999999997</v>
      </c>
      <c r="AS77" s="232">
        <f>AS74</f>
        <v>531</v>
      </c>
      <c r="AT77" s="239">
        <f>SUM(AT74:AT76)</f>
        <v>5307796.3499999996</v>
      </c>
      <c r="AV77" s="238">
        <f>AR77-AJ77</f>
        <v>-7.5900000000000318</v>
      </c>
      <c r="AW77" s="237">
        <f>AT77-AL77</f>
        <v>327612.32999999914</v>
      </c>
      <c r="AY77" s="60">
        <v>0.1</v>
      </c>
      <c r="AZ77" s="72"/>
      <c r="BB77" s="236">
        <f>(BE77-AR77)/AR77</f>
        <v>0</v>
      </c>
      <c r="BC77" s="242"/>
      <c r="BD77" s="234">
        <f>(BF77-AS77)/AS77</f>
        <v>3.0131826741996232E-2</v>
      </c>
      <c r="BE77" s="233">
        <f>SUM(BE74:BE76)</f>
        <v>245.40999999999997</v>
      </c>
      <c r="BF77" s="232">
        <f>BF74</f>
        <v>547</v>
      </c>
      <c r="BG77" s="231">
        <f>SUM(BG74:BG76)</f>
        <v>5467729.9499999993</v>
      </c>
      <c r="BI77" s="60"/>
      <c r="BJ77" s="72"/>
    </row>
    <row r="78" spans="1:62" s="59" customFormat="1" x14ac:dyDescent="0.25">
      <c r="B78" s="263"/>
      <c r="C78" s="169"/>
      <c r="D78" s="265"/>
      <c r="E78" s="186"/>
      <c r="F78" s="268"/>
      <c r="G78" s="265"/>
      <c r="H78" s="186"/>
      <c r="I78" s="268"/>
      <c r="J78" s="265"/>
      <c r="K78" s="186"/>
      <c r="L78" s="268"/>
      <c r="M78" s="186"/>
      <c r="N78" s="186"/>
      <c r="O78" s="267"/>
      <c r="P78" s="265"/>
      <c r="Q78" s="186"/>
      <c r="R78" s="266"/>
      <c r="S78" s="265"/>
      <c r="T78" s="186"/>
      <c r="U78" s="185"/>
      <c r="V78" s="184"/>
      <c r="W78" s="183"/>
      <c r="X78" s="182"/>
      <c r="Y78" s="184"/>
      <c r="Z78" s="183"/>
      <c r="AA78" s="182"/>
      <c r="AB78" s="184"/>
      <c r="AC78" s="183"/>
      <c r="AD78" s="182"/>
      <c r="AF78" s="181"/>
      <c r="AG78" s="180"/>
      <c r="AH78" s="179"/>
      <c r="AJ78" s="181"/>
      <c r="AK78" s="180"/>
      <c r="AL78" s="179"/>
      <c r="AO78" s="181"/>
      <c r="AP78" s="180"/>
      <c r="AQ78" s="180"/>
      <c r="AR78" s="177"/>
      <c r="AS78" s="176"/>
      <c r="AT78" s="178"/>
      <c r="AV78" s="264"/>
      <c r="AW78" s="80"/>
      <c r="AY78" s="60"/>
      <c r="BB78" s="181"/>
      <c r="BC78" s="180"/>
      <c r="BD78" s="180"/>
      <c r="BE78" s="177"/>
      <c r="BF78" s="176"/>
      <c r="BG78" s="175"/>
      <c r="BI78" s="60"/>
    </row>
    <row r="79" spans="1:62" x14ac:dyDescent="0.25">
      <c r="A79" s="263" t="s">
        <v>161</v>
      </c>
      <c r="C79" s="188"/>
      <c r="D79" s="256"/>
      <c r="E79" s="230"/>
      <c r="F79" s="259"/>
      <c r="G79" s="256"/>
      <c r="H79" s="262"/>
      <c r="I79" s="259"/>
      <c r="J79" s="256"/>
      <c r="K79" s="262"/>
      <c r="L79" s="259"/>
      <c r="M79" s="230"/>
      <c r="N79" s="262"/>
      <c r="O79" s="258"/>
      <c r="P79" s="256"/>
      <c r="Q79" s="230"/>
      <c r="R79" s="257"/>
      <c r="S79" s="256"/>
      <c r="T79" s="230"/>
      <c r="U79" s="255"/>
      <c r="V79" s="115"/>
      <c r="W79" s="114"/>
      <c r="X79" s="126"/>
      <c r="Y79" s="115"/>
      <c r="Z79" s="114"/>
      <c r="AA79" s="126"/>
      <c r="AB79" s="115"/>
      <c r="AC79" s="114"/>
      <c r="AD79" s="126"/>
      <c r="AF79" s="122"/>
      <c r="AG79" s="214"/>
      <c r="AH79" s="261"/>
      <c r="AJ79" s="122"/>
      <c r="AK79" s="214"/>
      <c r="AL79" s="261"/>
      <c r="AO79" s="122"/>
      <c r="AP79" s="214"/>
      <c r="AQ79" s="214"/>
      <c r="AR79" s="117"/>
      <c r="AS79" s="74"/>
      <c r="AT79" s="260"/>
      <c r="AW79" s="80"/>
      <c r="BB79" s="122"/>
      <c r="BC79" s="214"/>
      <c r="BD79" s="214"/>
      <c r="BE79" s="117"/>
      <c r="BF79" s="74"/>
      <c r="BG79" s="127"/>
    </row>
    <row r="80" spans="1:62" x14ac:dyDescent="0.25">
      <c r="B80" s="91" t="s">
        <v>160</v>
      </c>
      <c r="C80" s="188"/>
      <c r="D80" s="256">
        <f>ROUND((F80/E80)/36,0)</f>
        <v>143</v>
      </c>
      <c r="E80" s="230">
        <v>257</v>
      </c>
      <c r="F80" s="259">
        <v>1323818</v>
      </c>
      <c r="G80" s="256">
        <f>ROUND((I80/H80)/36,0)</f>
        <v>163</v>
      </c>
      <c r="H80" s="230">
        <v>272</v>
      </c>
      <c r="I80" s="259">
        <v>1598969</v>
      </c>
      <c r="J80" s="256">
        <f>ROUND((L80/K80)/36,0)</f>
        <v>180</v>
      </c>
      <c r="K80" s="230">
        <v>283</v>
      </c>
      <c r="L80" s="259">
        <v>1829546</v>
      </c>
      <c r="M80" s="230">
        <f>ROUND((O80/N80)/36,0)</f>
        <v>159</v>
      </c>
      <c r="N80" s="230">
        <v>294</v>
      </c>
      <c r="O80" s="258">
        <v>1684159</v>
      </c>
      <c r="P80" s="256">
        <f>ROUND((R80/Q80)/36,0)</f>
        <v>138</v>
      </c>
      <c r="Q80" s="230">
        <f>ROUND(N80*(1+Q95),0)</f>
        <v>307</v>
      </c>
      <c r="R80" s="257">
        <v>1525085</v>
      </c>
      <c r="S80" s="256">
        <f>ROUND((U80/T80)/36,0)</f>
        <v>133</v>
      </c>
      <c r="T80" s="230">
        <f>ROUND(Q80*(1+T95),0)</f>
        <v>325</v>
      </c>
      <c r="U80" s="255">
        <v>1557084.69</v>
      </c>
      <c r="V80" s="115">
        <f>ROUND((X80/W80)/36,0)</f>
        <v>132</v>
      </c>
      <c r="W80" s="114">
        <v>338</v>
      </c>
      <c r="X80" s="123">
        <f>'[1]Grad Tuition'!N81</f>
        <v>1609354.63</v>
      </c>
      <c r="Y80" s="115">
        <f>ROUND((AA80/Z80)/36,0)</f>
        <v>113</v>
      </c>
      <c r="Z80" s="114">
        <v>345</v>
      </c>
      <c r="AA80" s="123">
        <v>1408685.25</v>
      </c>
      <c r="AB80" s="115">
        <f>ROUND((AD80/AC80)/36,0)</f>
        <v>117</v>
      </c>
      <c r="AC80" s="114">
        <v>352</v>
      </c>
      <c r="AD80" s="123">
        <v>1477369.82</v>
      </c>
      <c r="AF80" s="122">
        <v>117</v>
      </c>
      <c r="AG80" s="214">
        <v>363</v>
      </c>
      <c r="AH80" s="121">
        <v>1528956</v>
      </c>
      <c r="AJ80" s="122">
        <f>ROUND((AL80/AK80)/36,0)</f>
        <v>113</v>
      </c>
      <c r="AK80" s="214">
        <v>363</v>
      </c>
      <c r="AL80" s="121">
        <v>1472763.27</v>
      </c>
      <c r="AM80" s="80">
        <f>AL80-AH80</f>
        <v>-56192.729999999981</v>
      </c>
      <c r="AO80" s="254">
        <v>-0.03</v>
      </c>
      <c r="AP80" s="214"/>
      <c r="AQ80" s="118">
        <v>0.1</v>
      </c>
      <c r="AR80" s="117">
        <f>AJ80*(1+AO80)</f>
        <v>109.61</v>
      </c>
      <c r="AS80" s="74">
        <f>ROUND(AK80*(1+AQ80),0)</f>
        <v>399</v>
      </c>
      <c r="AT80" s="120">
        <f>AS80*AR80*36</f>
        <v>1574438.04</v>
      </c>
      <c r="AU80" s="86"/>
      <c r="AV80" s="64">
        <f>AR80-AJ80</f>
        <v>-3.3900000000000006</v>
      </c>
      <c r="AW80" s="80">
        <f>AT80-AL80</f>
        <v>101674.77000000002</v>
      </c>
      <c r="AY80" s="60">
        <v>0.1</v>
      </c>
      <c r="AZ80" s="72"/>
      <c r="BB80" s="254">
        <f>'[1]10-yr Projection'!D91</f>
        <v>0</v>
      </c>
      <c r="BC80" s="214"/>
      <c r="BD80" s="118">
        <f>'[1]10-yr Projection'!D104</f>
        <v>0.03</v>
      </c>
      <c r="BE80" s="117">
        <f>AR80*(1+BB80)</f>
        <v>109.61</v>
      </c>
      <c r="BF80" s="74">
        <f>ROUND(AS80*(1+BD80),0)</f>
        <v>411</v>
      </c>
      <c r="BG80" s="116">
        <f>BF80*BE80*36</f>
        <v>1621789.56</v>
      </c>
      <c r="BH80" s="86"/>
      <c r="BJ80" s="72"/>
    </row>
    <row r="81" spans="2:62" x14ac:dyDescent="0.25">
      <c r="B81" s="91" t="s">
        <v>159</v>
      </c>
      <c r="C81" s="188"/>
      <c r="D81" s="256">
        <f>ROUND((F81/E81)/36,0)</f>
        <v>46</v>
      </c>
      <c r="E81" s="230">
        <v>240</v>
      </c>
      <c r="F81" s="259">
        <v>395330</v>
      </c>
      <c r="G81" s="256">
        <f>ROUND((I81/H81)/36,0)</f>
        <v>45</v>
      </c>
      <c r="H81" s="230">
        <v>257</v>
      </c>
      <c r="I81" s="259">
        <v>418028</v>
      </c>
      <c r="J81" s="256">
        <f>ROUND((L81/K81)/36,0)</f>
        <v>36</v>
      </c>
      <c r="K81" s="230">
        <v>272</v>
      </c>
      <c r="L81" s="259">
        <v>351826</v>
      </c>
      <c r="M81" s="230">
        <f>ROUND((O81/N81)/36,0)</f>
        <v>29</v>
      </c>
      <c r="N81" s="230">
        <v>283</v>
      </c>
      <c r="O81" s="258">
        <v>294037</v>
      </c>
      <c r="P81" s="256">
        <f>ROUND((R81/Q81)/36,0)</f>
        <v>17</v>
      </c>
      <c r="Q81" s="230">
        <v>294</v>
      </c>
      <c r="R81" s="257">
        <v>180644</v>
      </c>
      <c r="S81" s="256">
        <f>ROUND((U81/T81)/36,0)</f>
        <v>16</v>
      </c>
      <c r="T81" s="230">
        <v>307</v>
      </c>
      <c r="U81" s="255">
        <v>180195.95</v>
      </c>
      <c r="V81" s="115">
        <f>ROUND((X81/W81)/36,0)</f>
        <v>17</v>
      </c>
      <c r="W81" s="114">
        <v>338</v>
      </c>
      <c r="X81" s="123">
        <f>'[1]Grad Tuition'!N86</f>
        <v>203520.23</v>
      </c>
      <c r="Y81" s="115">
        <f>ROUND((AA81/Z81)/12,0)</f>
        <v>47</v>
      </c>
      <c r="Z81" s="114">
        <v>345</v>
      </c>
      <c r="AA81" s="123">
        <v>192811.53</v>
      </c>
      <c r="AB81" s="115">
        <f>ROUND((AD81/AC81)/12,0)</f>
        <v>32</v>
      </c>
      <c r="AC81" s="114">
        <v>352</v>
      </c>
      <c r="AD81" s="123">
        <v>134474.37</v>
      </c>
      <c r="AF81" s="122">
        <v>32</v>
      </c>
      <c r="AG81" s="214">
        <v>363</v>
      </c>
      <c r="AH81" s="121">
        <v>139392</v>
      </c>
      <c r="AJ81" s="122">
        <f>ROUND((AL81/AK81)/12,0)</f>
        <v>28</v>
      </c>
      <c r="AK81" s="214">
        <v>363</v>
      </c>
      <c r="AL81" s="121">
        <v>123550.11</v>
      </c>
      <c r="AM81" s="80">
        <f>AL81-AH81</f>
        <v>-15841.89</v>
      </c>
      <c r="AO81" s="254">
        <v>-0.03</v>
      </c>
      <c r="AP81" s="214"/>
      <c r="AQ81" s="118">
        <v>0.1</v>
      </c>
      <c r="AR81" s="117">
        <f>AJ81*(1+AO81)</f>
        <v>27.16</v>
      </c>
      <c r="AS81" s="74">
        <f>ROUND(AK81*(1+AQ81),0)</f>
        <v>399</v>
      </c>
      <c r="AT81" s="120">
        <f>AS81*AR81*12</f>
        <v>130042.08</v>
      </c>
      <c r="AU81" s="86"/>
      <c r="AV81" s="64">
        <f>AR81-AJ81</f>
        <v>-0.83999999999999986</v>
      </c>
      <c r="AW81" s="80">
        <f>AT81-AL81</f>
        <v>6491.9700000000012</v>
      </c>
      <c r="AY81" s="60">
        <v>0.1</v>
      </c>
      <c r="AZ81" s="72"/>
      <c r="BB81" s="254">
        <f>BB80</f>
        <v>0</v>
      </c>
      <c r="BC81" s="214"/>
      <c r="BD81" s="118">
        <f>BD80</f>
        <v>0.03</v>
      </c>
      <c r="BE81" s="117">
        <f>AR81*(1+BB81)</f>
        <v>27.16</v>
      </c>
      <c r="BF81" s="74">
        <f>ROUND(AS81*(1+BD81),0)</f>
        <v>411</v>
      </c>
      <c r="BG81" s="116">
        <f>BF81*BE81*12</f>
        <v>133953.12</v>
      </c>
      <c r="BH81" s="86"/>
      <c r="BJ81" s="72"/>
    </row>
    <row r="82" spans="2:62" x14ac:dyDescent="0.25">
      <c r="B82" s="91" t="s">
        <v>158</v>
      </c>
      <c r="C82" s="188"/>
      <c r="D82" s="256">
        <f>ROUND((F82/E82)/36,0)</f>
        <v>34</v>
      </c>
      <c r="E82" s="230">
        <v>437</v>
      </c>
      <c r="F82" s="259">
        <v>533899</v>
      </c>
      <c r="G82" s="256">
        <f>ROUND((I82/H82)/36,0)</f>
        <v>16</v>
      </c>
      <c r="H82" s="230">
        <v>446</v>
      </c>
      <c r="I82" s="259">
        <v>250553</v>
      </c>
      <c r="J82" s="256">
        <f>ROUND((L82/K82)/36,0)</f>
        <v>17</v>
      </c>
      <c r="K82" s="230">
        <v>464</v>
      </c>
      <c r="L82" s="259">
        <v>286087</v>
      </c>
      <c r="M82" s="230">
        <f>ROUND((O82/N82)/36,0)</f>
        <v>28</v>
      </c>
      <c r="N82" s="230">
        <v>483</v>
      </c>
      <c r="O82" s="258">
        <v>480153</v>
      </c>
      <c r="P82" s="256">
        <f>ROUND((R82/Q82)/36,0)</f>
        <v>28</v>
      </c>
      <c r="Q82" s="230">
        <f>ROUND(N82*(1+Q96),0)</f>
        <v>505</v>
      </c>
      <c r="R82" s="257">
        <v>508980</v>
      </c>
      <c r="S82" s="256">
        <f>ROUND((U82/T82)/36,0)</f>
        <v>18</v>
      </c>
      <c r="T82" s="230">
        <f>ROUND(Q82*(1+T96),0)</f>
        <v>535</v>
      </c>
      <c r="U82" s="255">
        <v>347352.75</v>
      </c>
      <c r="V82" s="115">
        <f>ROUND((X82/W82)/36,0)</f>
        <v>40</v>
      </c>
      <c r="W82" s="114">
        <v>562</v>
      </c>
      <c r="X82" s="123">
        <f>'[1]Grad Tuition'!N82</f>
        <v>814164.36</v>
      </c>
      <c r="Y82" s="115">
        <f>ROUND((AA82/Z82)/36,0)</f>
        <v>58</v>
      </c>
      <c r="Z82" s="114">
        <v>580</v>
      </c>
      <c r="AA82" s="123">
        <v>1205147.8799999999</v>
      </c>
      <c r="AB82" s="115">
        <f>ROUND((AD82/AC82)/36,0)</f>
        <v>38</v>
      </c>
      <c r="AC82" s="114">
        <v>592</v>
      </c>
      <c r="AD82" s="123">
        <v>815561.51</v>
      </c>
      <c r="AF82" s="122">
        <v>38</v>
      </c>
      <c r="AG82" s="214">
        <v>610</v>
      </c>
      <c r="AH82" s="121">
        <v>834480</v>
      </c>
      <c r="AJ82" s="122">
        <f>ROUND((AL82/AK82)/36,0)</f>
        <v>32</v>
      </c>
      <c r="AK82" s="214">
        <v>610</v>
      </c>
      <c r="AL82" s="121">
        <v>702018.76</v>
      </c>
      <c r="AM82" s="80">
        <f>AL82-AH82</f>
        <v>-132461.24</v>
      </c>
      <c r="AO82" s="254">
        <v>-0.03</v>
      </c>
      <c r="AP82" s="214"/>
      <c r="AQ82" s="118">
        <v>0.1</v>
      </c>
      <c r="AR82" s="117">
        <f>AJ82*(1+AO82)</f>
        <v>31.04</v>
      </c>
      <c r="AS82" s="74">
        <f>ROUND(AK82*(1+AQ82),0)</f>
        <v>671</v>
      </c>
      <c r="AT82" s="120">
        <f>AS82*AR82*36</f>
        <v>749802.24</v>
      </c>
      <c r="AU82" s="86"/>
      <c r="AV82" s="64">
        <f>AR82-AJ82</f>
        <v>-0.96000000000000085</v>
      </c>
      <c r="AW82" s="80">
        <f>AT82-AL82</f>
        <v>47783.479999999981</v>
      </c>
      <c r="AY82" s="60">
        <v>0.1</v>
      </c>
      <c r="AZ82" s="72"/>
      <c r="BB82" s="254">
        <f>'[1]10-yr Projection'!D92</f>
        <v>0</v>
      </c>
      <c r="BC82" s="214"/>
      <c r="BD82" s="118">
        <f>'[1]10-yr Projection'!D105</f>
        <v>0.03</v>
      </c>
      <c r="BE82" s="117">
        <f>AR82*(1+BB82)</f>
        <v>31.04</v>
      </c>
      <c r="BF82" s="74">
        <f>ROUND(AS82*(1+BD82),0)</f>
        <v>691</v>
      </c>
      <c r="BG82" s="116">
        <f>BF82*BE82*36</f>
        <v>772151.04</v>
      </c>
      <c r="BH82" s="86"/>
      <c r="BJ82" s="72"/>
    </row>
    <row r="83" spans="2:62" x14ac:dyDescent="0.25">
      <c r="B83" s="91" t="s">
        <v>157</v>
      </c>
      <c r="C83" s="188"/>
      <c r="D83" s="256">
        <f>ROUND((F83/E83)/36,0)</f>
        <v>2</v>
      </c>
      <c r="E83" s="230">
        <v>360</v>
      </c>
      <c r="F83" s="259">
        <v>27259</v>
      </c>
      <c r="G83" s="256">
        <f>ROUND((I83/H83)/36,0)</f>
        <v>2</v>
      </c>
      <c r="H83" s="230">
        <v>437</v>
      </c>
      <c r="I83" s="259">
        <v>38004</v>
      </c>
      <c r="J83" s="256">
        <f>ROUND((L83/K83)/36,0)</f>
        <v>2</v>
      </c>
      <c r="K83" s="230">
        <v>450</v>
      </c>
      <c r="L83" s="259">
        <v>36428</v>
      </c>
      <c r="M83" s="230">
        <f>ROUND((O83/N83)/36,0)</f>
        <v>3</v>
      </c>
      <c r="N83" s="230">
        <v>464</v>
      </c>
      <c r="O83" s="258">
        <v>49632</v>
      </c>
      <c r="P83" s="256">
        <f>ROUND((R83/Q83)/36,0)</f>
        <v>2</v>
      </c>
      <c r="Q83" s="230">
        <v>483</v>
      </c>
      <c r="R83" s="257">
        <v>35445</v>
      </c>
      <c r="S83" s="256">
        <f>ROUND((U83/T83)/36,0)</f>
        <v>1</v>
      </c>
      <c r="T83" s="230">
        <v>505</v>
      </c>
      <c r="U83" s="255">
        <v>26972.28</v>
      </c>
      <c r="V83" s="115">
        <f>ROUND((X83/W83)/36,0)</f>
        <v>1</v>
      </c>
      <c r="W83" s="114">
        <v>562</v>
      </c>
      <c r="X83" s="123">
        <f>'[1]Grad Tuition'!N87</f>
        <v>24281.17</v>
      </c>
      <c r="Y83" s="115">
        <f>ROUND((AA83/Z83)/12,0)</f>
        <v>6</v>
      </c>
      <c r="Z83" s="114">
        <v>580</v>
      </c>
      <c r="AA83" s="123">
        <v>44329.33</v>
      </c>
      <c r="AB83" s="115">
        <f>ROUND((AD83/AC83)/12,0)</f>
        <v>4</v>
      </c>
      <c r="AC83" s="114">
        <v>592</v>
      </c>
      <c r="AD83" s="123">
        <v>29884.42</v>
      </c>
      <c r="AF83" s="122">
        <v>4</v>
      </c>
      <c r="AG83" s="214">
        <v>610</v>
      </c>
      <c r="AH83" s="121">
        <v>29280</v>
      </c>
      <c r="AJ83" s="122">
        <f>ROUND((AL83/AK83)/12,0)</f>
        <v>2</v>
      </c>
      <c r="AK83" s="214">
        <v>610</v>
      </c>
      <c r="AL83" s="121">
        <v>15198</v>
      </c>
      <c r="AM83" s="80">
        <f>AL83-AH83</f>
        <v>-14082</v>
      </c>
      <c r="AO83" s="254">
        <v>-0.03</v>
      </c>
      <c r="AP83" s="214"/>
      <c r="AQ83" s="118">
        <v>0.1</v>
      </c>
      <c r="AR83" s="117">
        <f>AJ83*(1+AO83)</f>
        <v>1.94</v>
      </c>
      <c r="AS83" s="74">
        <f>ROUND(AK83*(1+AQ83),0)</f>
        <v>671</v>
      </c>
      <c r="AT83" s="120">
        <f>AS83*AR83*12</f>
        <v>15620.880000000001</v>
      </c>
      <c r="AU83" s="86"/>
      <c r="AV83" s="64">
        <f>AR83-AJ83</f>
        <v>-6.0000000000000053E-2</v>
      </c>
      <c r="AW83" s="80">
        <f>AT83-AL83</f>
        <v>422.88000000000102</v>
      </c>
      <c r="AY83" s="60">
        <v>0.1</v>
      </c>
      <c r="AZ83" s="72"/>
      <c r="BB83" s="254">
        <f>BB82</f>
        <v>0</v>
      </c>
      <c r="BC83" s="214"/>
      <c r="BD83" s="118">
        <f>BD82</f>
        <v>0.03</v>
      </c>
      <c r="BE83" s="117">
        <f>AR83*(1+BB83)</f>
        <v>1.94</v>
      </c>
      <c r="BF83" s="74">
        <f>ROUND(AS83*(1+BD83),0)</f>
        <v>691</v>
      </c>
      <c r="BG83" s="116">
        <f>BF83*BE83*12</f>
        <v>16086.48</v>
      </c>
      <c r="BH83" s="86"/>
      <c r="BJ83" s="72"/>
    </row>
    <row r="84" spans="2:62" x14ac:dyDescent="0.25">
      <c r="B84" s="91"/>
      <c r="C84" s="188"/>
      <c r="D84" s="250">
        <f>SUM(D80:D83)</f>
        <v>225</v>
      </c>
      <c r="E84" s="249">
        <f>ROUND((F84/D84)/36,0)</f>
        <v>282</v>
      </c>
      <c r="F84" s="253">
        <f>SUM(F80:F83)</f>
        <v>2280306</v>
      </c>
      <c r="G84" s="250">
        <f>SUM(G80:G83)</f>
        <v>226</v>
      </c>
      <c r="H84" s="249">
        <f>ROUND((I84/G84)/36,0)</f>
        <v>283</v>
      </c>
      <c r="I84" s="253">
        <f>SUM(I80:I83)</f>
        <v>2305554</v>
      </c>
      <c r="J84" s="250">
        <f>SUM(J80:J83)</f>
        <v>235</v>
      </c>
      <c r="K84" s="249">
        <f>ROUND((L84/J84)/36,0)</f>
        <v>296</v>
      </c>
      <c r="L84" s="253">
        <f>SUM(L80:L83)</f>
        <v>2503887</v>
      </c>
      <c r="M84" s="250">
        <f>SUM(M80:M83)</f>
        <v>219</v>
      </c>
      <c r="N84" s="249">
        <f>ROUND((O84/M84)/36,0)</f>
        <v>318</v>
      </c>
      <c r="O84" s="252">
        <f>SUM(O80:O83)</f>
        <v>2507981</v>
      </c>
      <c r="P84" s="250">
        <f>SUM(P80:P83)</f>
        <v>185</v>
      </c>
      <c r="Q84" s="249">
        <f>ROUND((R84/P84)/36,0)</f>
        <v>338</v>
      </c>
      <c r="R84" s="251">
        <f>SUM(R80:R83)</f>
        <v>2250154</v>
      </c>
      <c r="S84" s="250">
        <f>SUM(S80:S83)</f>
        <v>168</v>
      </c>
      <c r="T84" s="249">
        <f>ROUND((U84/S84)/36,0)</f>
        <v>349</v>
      </c>
      <c r="U84" s="248">
        <f>SUM(U80:U83)</f>
        <v>2111605.67</v>
      </c>
      <c r="V84" s="247">
        <f>SUM(V80:V83)</f>
        <v>190</v>
      </c>
      <c r="W84" s="245">
        <f>ROUND((X84/V84)/36,0)</f>
        <v>388</v>
      </c>
      <c r="X84" s="244">
        <f>SUM(X80:X83)</f>
        <v>2651320.3899999997</v>
      </c>
      <c r="Y84" s="246">
        <f>SUM(Y80:Y83)</f>
        <v>224</v>
      </c>
      <c r="Z84" s="245"/>
      <c r="AA84" s="244">
        <f>SUM(AA80:AA83)</f>
        <v>2850973.99</v>
      </c>
      <c r="AB84" s="246">
        <f>SUM(AB80:AB83)</f>
        <v>191</v>
      </c>
      <c r="AC84" s="245"/>
      <c r="AD84" s="244">
        <f>SUM(AD80:AD83)</f>
        <v>2457290.12</v>
      </c>
      <c r="AF84" s="243">
        <f>SUM(AF80:AF83)</f>
        <v>191</v>
      </c>
      <c r="AG84" s="242"/>
      <c r="AH84" s="241">
        <f>SUM(AH80:AH83)</f>
        <v>2532108</v>
      </c>
      <c r="AJ84" s="243">
        <f>SUM(AJ80:AJ83)</f>
        <v>175</v>
      </c>
      <c r="AK84" s="242"/>
      <c r="AL84" s="241">
        <f>SUM(AL80:AL83)</f>
        <v>2313530.14</v>
      </c>
      <c r="AM84" s="240">
        <f>AL84-AH84</f>
        <v>-218577.85999999987</v>
      </c>
      <c r="AO84" s="236"/>
      <c r="AP84" s="235"/>
      <c r="AQ84" s="234"/>
      <c r="AR84" s="233">
        <f>SUM(AR80:AR83)</f>
        <v>169.75</v>
      </c>
      <c r="AS84" s="232"/>
      <c r="AT84" s="239">
        <f>SUM(AT80:AT83)</f>
        <v>2469903.2400000002</v>
      </c>
      <c r="AU84" s="230"/>
      <c r="AV84" s="238">
        <f>AR84-AJ84</f>
        <v>-5.25</v>
      </c>
      <c r="AW84" s="237">
        <f>AT84-AL84</f>
        <v>156373.10000000009</v>
      </c>
      <c r="AY84" s="60">
        <v>0.1</v>
      </c>
      <c r="AZ84" s="72"/>
      <c r="BB84" s="236"/>
      <c r="BC84" s="235"/>
      <c r="BD84" s="234"/>
      <c r="BE84" s="233">
        <f>SUM(BE80:BE83)</f>
        <v>169.75</v>
      </c>
      <c r="BF84" s="232"/>
      <c r="BG84" s="231">
        <f>SUM(BG80:BG83)</f>
        <v>2543980.2000000002</v>
      </c>
      <c r="BH84" s="230"/>
      <c r="BJ84" s="72"/>
    </row>
    <row r="85" spans="2:62" x14ac:dyDescent="0.25">
      <c r="B85" s="91"/>
      <c r="C85" s="188"/>
      <c r="D85" s="229"/>
      <c r="E85" s="228"/>
      <c r="F85" s="227"/>
      <c r="G85" s="229"/>
      <c r="H85" s="228"/>
      <c r="I85" s="227"/>
      <c r="J85" s="229"/>
      <c r="K85" s="228"/>
      <c r="L85" s="227"/>
      <c r="M85" s="224"/>
      <c r="N85" s="223"/>
      <c r="O85" s="226"/>
      <c r="P85" s="224"/>
      <c r="Q85" s="223"/>
      <c r="R85" s="225"/>
      <c r="S85" s="224"/>
      <c r="T85" s="223"/>
      <c r="U85" s="222"/>
      <c r="V85" s="221"/>
      <c r="W85" s="220"/>
      <c r="X85" s="219"/>
      <c r="Y85" s="221"/>
      <c r="Z85" s="220"/>
      <c r="AA85" s="219"/>
      <c r="AB85" s="221"/>
      <c r="AC85" s="220"/>
      <c r="AD85" s="219"/>
      <c r="AF85" s="218"/>
      <c r="AG85" s="217"/>
      <c r="AH85" s="216"/>
      <c r="AJ85" s="218"/>
      <c r="AK85" s="217"/>
      <c r="AL85" s="216"/>
      <c r="AO85" s="122"/>
      <c r="AP85" s="214"/>
      <c r="AQ85" s="214"/>
      <c r="AR85" s="213"/>
      <c r="AS85" s="212"/>
      <c r="AT85" s="215"/>
      <c r="AW85" s="80"/>
      <c r="BB85" s="122"/>
      <c r="BC85" s="214"/>
      <c r="BD85" s="214"/>
      <c r="BE85" s="213"/>
      <c r="BF85" s="212"/>
      <c r="BG85" s="211"/>
    </row>
    <row r="86" spans="2:62" ht="16.5" thickBot="1" x14ac:dyDescent="0.3">
      <c r="B86" s="59" t="s">
        <v>156</v>
      </c>
      <c r="C86" s="188"/>
      <c r="D86" s="206">
        <f>D38+D72+D77+D84</f>
        <v>3980</v>
      </c>
      <c r="E86" s="210"/>
      <c r="F86" s="209">
        <f>F38+F72+F77+F84</f>
        <v>21757005.079999998</v>
      </c>
      <c r="G86" s="206">
        <f>G38+G72+G77+G84</f>
        <v>4091</v>
      </c>
      <c r="H86" s="210"/>
      <c r="I86" s="209">
        <f>I38+I72+I77+I84</f>
        <v>24986249.210000001</v>
      </c>
      <c r="J86" s="206">
        <f>J38+J72+J77+J84</f>
        <v>4300</v>
      </c>
      <c r="K86" s="210"/>
      <c r="L86" s="209">
        <f>L38+L72+L77+L84</f>
        <v>27906465.700000003</v>
      </c>
      <c r="M86" s="206">
        <f>M38+M72+M77+M84</f>
        <v>4534</v>
      </c>
      <c r="N86" s="205"/>
      <c r="O86" s="208">
        <f>O38+O72+O77+O84</f>
        <v>31084800.540000003</v>
      </c>
      <c r="P86" s="206">
        <f>P38+P72+P77+P84</f>
        <v>4511</v>
      </c>
      <c r="Q86" s="205"/>
      <c r="R86" s="207">
        <f>R38+R72+R77+R84</f>
        <v>32266668.369999997</v>
      </c>
      <c r="S86" s="206">
        <f>S38+S72+S77+S84</f>
        <v>4401</v>
      </c>
      <c r="T86" s="205"/>
      <c r="U86" s="204">
        <f>U38+U72+U77+U84</f>
        <v>33995339.370000005</v>
      </c>
      <c r="V86" s="203">
        <f>V38+V72+V77+V84</f>
        <v>4310</v>
      </c>
      <c r="W86" s="202"/>
      <c r="X86" s="201">
        <f>X38+X72+X77+X84</f>
        <v>35961245.780000001</v>
      </c>
      <c r="Y86" s="203">
        <f>Y38+Y72+Y77+Y84</f>
        <v>4271</v>
      </c>
      <c r="Z86" s="202"/>
      <c r="AA86" s="201">
        <f>AA38+AA72+AA77+AA84</f>
        <v>35081902.200000003</v>
      </c>
      <c r="AB86" s="203">
        <f>AB38+AB72+AB74+AB75+SUM(AB80:AB83)</f>
        <v>4118</v>
      </c>
      <c r="AC86" s="202"/>
      <c r="AD86" s="201">
        <f>AD38+AD72+AD77+AD84</f>
        <v>34576952.369999997</v>
      </c>
      <c r="AF86" s="200">
        <f>AF38+AF72+AF74+AF75+SUM(AF80:AF83)</f>
        <v>3993</v>
      </c>
      <c r="AG86" s="199"/>
      <c r="AH86" s="198">
        <f>AH38+AH72+AH77+AH84</f>
        <v>34716078</v>
      </c>
      <c r="AJ86" s="200">
        <f>AJ38+AJ72+AJ74+AJ75+SUM(AJ80:AJ83)</f>
        <v>4005</v>
      </c>
      <c r="AK86" s="199"/>
      <c r="AL86" s="198">
        <f>AL38+AL72+AL77+AL84</f>
        <v>34719086.599999994</v>
      </c>
      <c r="AM86" s="197">
        <f>AL86-AH86</f>
        <v>3008.5999999940395</v>
      </c>
      <c r="AO86" s="193">
        <f>(AR86-AJ86)/AJ86</f>
        <v>-2.3742060058590395E-2</v>
      </c>
      <c r="AP86" s="192"/>
      <c r="AQ86" s="192"/>
      <c r="AR86" s="191">
        <f>AR38+AR72+AR74+AR75+SUM(AR80:AR83)</f>
        <v>3909.9130494653455</v>
      </c>
      <c r="AS86" s="190"/>
      <c r="AT86" s="196">
        <f>AT38+AT72+AT77+AT84</f>
        <v>35982200.852071576</v>
      </c>
      <c r="AV86" s="195">
        <f>AR86-AJ86</f>
        <v>-95.086950534654534</v>
      </c>
      <c r="AW86" s="194">
        <f>AT86-AL86</f>
        <v>1263114.2520715818</v>
      </c>
      <c r="AY86" s="60">
        <v>0.1</v>
      </c>
      <c r="AZ86" s="72"/>
      <c r="BB86" s="193">
        <f>(BE86-AR86)/AR86</f>
        <v>4.6225621762333021E-6</v>
      </c>
      <c r="BC86" s="192"/>
      <c r="BD86" s="192"/>
      <c r="BE86" s="191">
        <f>BE38+BE72+BE74+BE75+SUM(BE80:BE83)</f>
        <v>3909.9311232815203</v>
      </c>
      <c r="BF86" s="190"/>
      <c r="BG86" s="189">
        <f>BG38+BG72+BG77+BG84</f>
        <v>37097105.891459361</v>
      </c>
      <c r="BJ86" s="72"/>
    </row>
    <row r="87" spans="2:62" x14ac:dyDescent="0.25">
      <c r="B87" s="59"/>
      <c r="C87" s="188"/>
      <c r="D87" s="186"/>
      <c r="E87" s="186"/>
      <c r="F87" s="187"/>
      <c r="G87" s="186"/>
      <c r="H87" s="186"/>
      <c r="I87" s="187"/>
      <c r="J87" s="186"/>
      <c r="K87" s="186"/>
      <c r="L87" s="187"/>
      <c r="M87" s="186"/>
      <c r="N87" s="186"/>
      <c r="O87" s="185"/>
      <c r="P87" s="186"/>
      <c r="Q87" s="186"/>
      <c r="R87" s="187"/>
      <c r="S87" s="186"/>
      <c r="T87" s="186"/>
      <c r="U87" s="185"/>
      <c r="V87" s="184"/>
      <c r="W87" s="183"/>
      <c r="X87" s="182"/>
      <c r="Y87" s="184"/>
      <c r="Z87" s="183"/>
      <c r="AA87" s="182"/>
      <c r="AB87" s="184"/>
      <c r="AC87" s="183"/>
      <c r="AD87" s="182"/>
      <c r="AF87" s="181"/>
      <c r="AG87" s="180"/>
      <c r="AH87" s="179"/>
      <c r="AJ87" s="181"/>
      <c r="AK87" s="180"/>
      <c r="AL87" s="179"/>
      <c r="AR87" s="177"/>
      <c r="AS87" s="176"/>
      <c r="AT87" s="178"/>
      <c r="AW87" s="80"/>
      <c r="BE87" s="177"/>
      <c r="BF87" s="176"/>
      <c r="BG87" s="175"/>
    </row>
    <row r="88" spans="2:62" x14ac:dyDescent="0.25">
      <c r="B88" s="58" t="s">
        <v>155</v>
      </c>
      <c r="D88" s="160"/>
      <c r="F88" s="172"/>
      <c r="G88" s="160"/>
      <c r="I88" s="172"/>
      <c r="J88" s="160"/>
      <c r="L88" s="172"/>
      <c r="M88" s="160"/>
      <c r="N88" s="169"/>
      <c r="O88" s="157"/>
      <c r="P88" s="160"/>
      <c r="R88" s="172"/>
      <c r="S88" s="160"/>
      <c r="U88" s="157"/>
      <c r="V88" s="174"/>
      <c r="W88" s="114"/>
      <c r="X88" s="123">
        <v>226842</v>
      </c>
      <c r="Y88" s="173">
        <f>AA88/Z88/45</f>
        <v>152.63348484848484</v>
      </c>
      <c r="Z88" s="124">
        <v>44</v>
      </c>
      <c r="AA88" s="123">
        <v>302214.3</v>
      </c>
      <c r="AB88" s="173">
        <f>AD88/AC88/45</f>
        <v>166.39445432098768</v>
      </c>
      <c r="AC88" s="124">
        <f>ROUND(AC6*0.3,0)</f>
        <v>45</v>
      </c>
      <c r="AD88" s="123">
        <v>336948.77</v>
      </c>
      <c r="AF88" s="122">
        <v>166</v>
      </c>
      <c r="AG88" s="74">
        <v>47</v>
      </c>
      <c r="AH88" s="121">
        <v>351090</v>
      </c>
      <c r="AJ88" s="122">
        <f>ROUND((AL88/AK88)/45,0)</f>
        <v>139</v>
      </c>
      <c r="AK88" s="74">
        <f>ROUND(AK6*0.3,0)</f>
        <v>47</v>
      </c>
      <c r="AL88" s="121">
        <v>293812.38</v>
      </c>
      <c r="AM88" s="80">
        <f t="shared" ref="AM88:AM103" si="44">AL88-AH88</f>
        <v>-57277.619999999995</v>
      </c>
      <c r="AO88" s="119">
        <v>-0.03</v>
      </c>
      <c r="AQ88" s="118">
        <v>6.5000000000000002E-2</v>
      </c>
      <c r="AR88" s="117">
        <f t="shared" ref="AR88:AR102" si="45">ROUNDDOWN(AJ88*(1+AO88),0)</f>
        <v>134</v>
      </c>
      <c r="AS88" s="74">
        <f>ROUND(AS6*0.3,0)</f>
        <v>50</v>
      </c>
      <c r="AT88" s="166">
        <f>AS88*AR88*45</f>
        <v>301500</v>
      </c>
      <c r="AU88" s="86"/>
      <c r="AV88" s="64">
        <f t="shared" ref="AV88:AV103" si="46">AR88-AJ88</f>
        <v>-5</v>
      </c>
      <c r="AW88" s="80">
        <f t="shared" ref="AW88:AW103" si="47">AT88-AL88</f>
        <v>7687.6199999999953</v>
      </c>
      <c r="AY88" s="60">
        <v>0.1</v>
      </c>
      <c r="AZ88" s="72"/>
      <c r="BB88" s="119">
        <f>BB6</f>
        <v>0</v>
      </c>
      <c r="BD88" s="118">
        <f>BD6</f>
        <v>0.03</v>
      </c>
      <c r="BE88" s="117">
        <f>ROUNDDOWN(AR88*(1+BB88),0)</f>
        <v>134</v>
      </c>
      <c r="BF88" s="74">
        <f>ROUND(BF6*0.3,0)</f>
        <v>51</v>
      </c>
      <c r="BG88" s="116">
        <f>BF88*BE88*45</f>
        <v>307530</v>
      </c>
      <c r="BH88" s="86"/>
      <c r="BJ88" s="72"/>
    </row>
    <row r="89" spans="2:62" ht="15.75" hidden="1" customHeight="1" x14ac:dyDescent="0.25">
      <c r="D89" s="160"/>
      <c r="F89" s="172"/>
      <c r="G89" s="160"/>
      <c r="I89" s="172"/>
      <c r="J89" s="160"/>
      <c r="L89" s="172"/>
      <c r="M89" s="160"/>
      <c r="N89" s="169"/>
      <c r="O89" s="157"/>
      <c r="P89" s="160"/>
      <c r="R89" s="172"/>
      <c r="S89" s="160"/>
      <c r="V89" s="171"/>
      <c r="W89" s="114"/>
      <c r="X89" s="123"/>
      <c r="Y89" s="171"/>
      <c r="Z89" s="114"/>
      <c r="AA89" s="123"/>
      <c r="AB89" s="171"/>
      <c r="AC89" s="114"/>
      <c r="AD89" s="123"/>
      <c r="AF89"/>
      <c r="AG89"/>
      <c r="AH89"/>
      <c r="AJ89"/>
      <c r="AK89"/>
      <c r="AL89"/>
      <c r="AM89" s="80">
        <f t="shared" si="44"/>
        <v>0</v>
      </c>
      <c r="AO89" s="132">
        <v>-0.03</v>
      </c>
      <c r="AQ89" s="131">
        <v>6.5000000000000002E-2</v>
      </c>
      <c r="AR89" s="117">
        <f t="shared" si="45"/>
        <v>0</v>
      </c>
      <c r="AS89" s="74"/>
      <c r="AT89" s="166"/>
      <c r="AU89" s="86"/>
      <c r="AV89" s="64">
        <f t="shared" si="46"/>
        <v>0</v>
      </c>
      <c r="AW89" s="80">
        <f t="shared" si="47"/>
        <v>0</v>
      </c>
      <c r="AY89" s="60">
        <v>0.1</v>
      </c>
      <c r="AZ89" s="72"/>
      <c r="BB89" s="129"/>
      <c r="BE89" s="117"/>
      <c r="BF89" s="74"/>
      <c r="BG89" s="116"/>
      <c r="BH89" s="86"/>
      <c r="BJ89" s="72"/>
    </row>
    <row r="90" spans="2:62" ht="15.75" hidden="1" customHeight="1" x14ac:dyDescent="0.25">
      <c r="G90" s="169" t="s">
        <v>153</v>
      </c>
      <c r="H90" s="169" t="s">
        <v>154</v>
      </c>
      <c r="I90" s="169" t="s">
        <v>152</v>
      </c>
      <c r="J90" s="169" t="s">
        <v>153</v>
      </c>
      <c r="K90" s="169" t="s">
        <v>154</v>
      </c>
      <c r="L90" s="169" t="s">
        <v>152</v>
      </c>
      <c r="M90" s="169" t="s">
        <v>153</v>
      </c>
      <c r="N90" s="169" t="s">
        <v>102</v>
      </c>
      <c r="O90" s="170" t="s">
        <v>152</v>
      </c>
      <c r="Q90" s="169" t="s">
        <v>102</v>
      </c>
      <c r="T90" s="169" t="s">
        <v>102</v>
      </c>
      <c r="V90" s="115"/>
      <c r="W90" s="167" t="s">
        <v>102</v>
      </c>
      <c r="X90" s="123">
        <f>X89/U86</f>
        <v>0</v>
      </c>
      <c r="Y90" s="168" t="s">
        <v>151</v>
      </c>
      <c r="Z90" s="167" t="s">
        <v>102</v>
      </c>
      <c r="AA90" s="123"/>
      <c r="AB90" s="168" t="s">
        <v>151</v>
      </c>
      <c r="AC90" s="167" t="s">
        <v>102</v>
      </c>
      <c r="AD90" s="123"/>
      <c r="AF90"/>
      <c r="AG90"/>
      <c r="AH90"/>
      <c r="AJ90"/>
      <c r="AK90"/>
      <c r="AL90"/>
      <c r="AM90" s="80">
        <f t="shared" si="44"/>
        <v>0</v>
      </c>
      <c r="AO90" s="132">
        <v>-0.03</v>
      </c>
      <c r="AQ90" s="131">
        <v>6.5000000000000002E-2</v>
      </c>
      <c r="AR90" s="117">
        <f t="shared" si="45"/>
        <v>0</v>
      </c>
      <c r="AS90" s="165" t="s">
        <v>102</v>
      </c>
      <c r="AT90" s="166"/>
      <c r="AU90" s="86"/>
      <c r="AV90" s="64">
        <f t="shared" si="46"/>
        <v>0</v>
      </c>
      <c r="AW90" s="80">
        <f t="shared" si="47"/>
        <v>0</v>
      </c>
      <c r="AY90" s="60">
        <v>0.1</v>
      </c>
      <c r="AZ90" s="72"/>
      <c r="BB90" s="129"/>
      <c r="BE90" s="117"/>
      <c r="BF90" s="165"/>
      <c r="BG90" s="116"/>
      <c r="BH90" s="86"/>
      <c r="BJ90" s="72"/>
    </row>
    <row r="91" spans="2:62" ht="15.75" hidden="1" customHeight="1" x14ac:dyDescent="0.25">
      <c r="G91" s="134">
        <f>(H6-E6)/E6</f>
        <v>9.375E-2</v>
      </c>
      <c r="H91" s="134">
        <f>(H38-E38)/E38</f>
        <v>0.08</v>
      </c>
      <c r="I91" s="134">
        <f>(I6-F6)/F6</f>
        <v>-0.38141501584350379</v>
      </c>
      <c r="J91" s="134">
        <f>(K6-H6)/H6</f>
        <v>8.5714285714285715E-2</v>
      </c>
      <c r="K91" s="134">
        <f>(K38-H38)/H38</f>
        <v>7.407407407407407E-2</v>
      </c>
      <c r="L91" s="134">
        <f>(L6-I6)/I6</f>
        <v>-0.46645078789627803</v>
      </c>
      <c r="M91" s="134">
        <f>(N6-K6)/K6</f>
        <v>5.2631578947368418E-2</v>
      </c>
      <c r="N91" s="134">
        <f>(N38-K38)/K38</f>
        <v>6.8965517241379309E-2</v>
      </c>
      <c r="O91" s="163">
        <f>(O6-L6)/L6</f>
        <v>-0.65571795933406585</v>
      </c>
      <c r="Q91" s="154">
        <v>4.4999999999999998E-2</v>
      </c>
      <c r="R91" s="134">
        <f>(Q38-N38)/N38</f>
        <v>7.2580645161290328E-2</v>
      </c>
      <c r="S91" s="164"/>
      <c r="T91" s="153">
        <v>4.4999999999999998E-2</v>
      </c>
      <c r="U91" s="163"/>
      <c r="V91" s="162"/>
      <c r="W91" s="151">
        <v>0.03</v>
      </c>
      <c r="X91" s="161"/>
      <c r="Y91" s="152">
        <v>0.01</v>
      </c>
      <c r="Z91" s="151">
        <v>0</v>
      </c>
      <c r="AA91" s="126"/>
      <c r="AB91" s="152">
        <v>0.01</v>
      </c>
      <c r="AC91" s="151">
        <v>0</v>
      </c>
      <c r="AD91" s="126"/>
      <c r="AF91"/>
      <c r="AG91"/>
      <c r="AH91"/>
      <c r="AJ91"/>
      <c r="AK91"/>
      <c r="AL91"/>
      <c r="AM91" s="80">
        <f t="shared" si="44"/>
        <v>0</v>
      </c>
      <c r="AO91" s="132">
        <v>-0.03</v>
      </c>
      <c r="AQ91" s="131">
        <v>6.5000000000000002E-2</v>
      </c>
      <c r="AR91" s="117">
        <f t="shared" si="45"/>
        <v>0</v>
      </c>
      <c r="AS91" s="150">
        <v>0</v>
      </c>
      <c r="AT91" s="130"/>
      <c r="AU91" s="86"/>
      <c r="AV91" s="64">
        <f t="shared" si="46"/>
        <v>0</v>
      </c>
      <c r="AW91" s="80">
        <f t="shared" si="47"/>
        <v>0</v>
      </c>
      <c r="AY91" s="60">
        <v>0.1</v>
      </c>
      <c r="AZ91" s="72"/>
      <c r="BB91" s="129"/>
      <c r="BE91" s="117"/>
      <c r="BF91" s="150"/>
      <c r="BG91" s="127"/>
      <c r="BH91" s="86"/>
      <c r="BJ91" s="72"/>
    </row>
    <row r="92" spans="2:62" ht="15.75" hidden="1" customHeight="1" x14ac:dyDescent="0.25">
      <c r="G92" s="160">
        <f>+H8/H7-1</f>
        <v>9.5238095238095344E-2</v>
      </c>
      <c r="J92" s="160">
        <f>+K9/K8-1</f>
        <v>8.6956521739130377E-2</v>
      </c>
      <c r="M92" s="160">
        <f>+N10/N9-1</f>
        <v>8.8000000000000078E-2</v>
      </c>
      <c r="Q92" s="159">
        <v>7.4999999999999997E-2</v>
      </c>
      <c r="T92" s="158">
        <v>1.4E-2</v>
      </c>
      <c r="U92" s="157">
        <f>U89/R86</f>
        <v>0</v>
      </c>
      <c r="V92" s="115"/>
      <c r="W92" s="151">
        <v>0.06</v>
      </c>
      <c r="X92" s="126">
        <f>X72-U72</f>
        <v>763350.01999999955</v>
      </c>
      <c r="Y92" s="152">
        <v>0.01</v>
      </c>
      <c r="Z92" s="151">
        <v>2.4E-2</v>
      </c>
      <c r="AA92" s="126"/>
      <c r="AB92" s="152">
        <v>0.01</v>
      </c>
      <c r="AC92" s="151">
        <v>0</v>
      </c>
      <c r="AD92" s="126"/>
      <c r="AF92"/>
      <c r="AG92"/>
      <c r="AH92"/>
      <c r="AJ92"/>
      <c r="AK92"/>
      <c r="AL92"/>
      <c r="AM92" s="80">
        <f t="shared" si="44"/>
        <v>0</v>
      </c>
      <c r="AO92" s="132">
        <v>-0.03</v>
      </c>
      <c r="AQ92" s="131">
        <v>6.5000000000000002E-2</v>
      </c>
      <c r="AR92" s="117">
        <f t="shared" si="45"/>
        <v>0</v>
      </c>
      <c r="AS92" s="156">
        <v>0</v>
      </c>
      <c r="AT92" s="130"/>
      <c r="AU92" s="86"/>
      <c r="AV92" s="64">
        <f t="shared" si="46"/>
        <v>0</v>
      </c>
      <c r="AW92" s="80">
        <f t="shared" si="47"/>
        <v>0</v>
      </c>
      <c r="AY92" s="60">
        <v>0.1</v>
      </c>
      <c r="AZ92" s="72"/>
      <c r="BB92" s="129"/>
      <c r="BE92" s="117"/>
      <c r="BF92" s="156"/>
      <c r="BG92" s="127"/>
      <c r="BH92" s="86"/>
      <c r="BJ92" s="72"/>
    </row>
    <row r="93" spans="2:62" ht="15.75" hidden="1" customHeight="1" x14ac:dyDescent="0.25">
      <c r="T93" s="86"/>
      <c r="V93" s="115"/>
      <c r="W93" s="155"/>
      <c r="X93" s="126"/>
      <c r="Y93" s="152">
        <v>1.4999999999999999E-2</v>
      </c>
      <c r="Z93" s="151"/>
      <c r="AA93" s="126"/>
      <c r="AB93" s="152">
        <v>1.4999999999999999E-2</v>
      </c>
      <c r="AC93" s="151"/>
      <c r="AD93" s="126"/>
      <c r="AF93"/>
      <c r="AG93"/>
      <c r="AH93"/>
      <c r="AJ93"/>
      <c r="AK93"/>
      <c r="AL93"/>
      <c r="AM93" s="80">
        <f t="shared" si="44"/>
        <v>0</v>
      </c>
      <c r="AO93" s="132">
        <v>-0.03</v>
      </c>
      <c r="AQ93" s="131">
        <v>6.5000000000000002E-2</v>
      </c>
      <c r="AR93" s="117">
        <f t="shared" si="45"/>
        <v>0</v>
      </c>
      <c r="AS93" s="150"/>
      <c r="AT93" s="130"/>
      <c r="AU93" s="86"/>
      <c r="AV93" s="64">
        <f t="shared" si="46"/>
        <v>0</v>
      </c>
      <c r="AW93" s="80">
        <f t="shared" si="47"/>
        <v>0</v>
      </c>
      <c r="AY93" s="60">
        <v>0.1</v>
      </c>
      <c r="AZ93" s="72"/>
      <c r="BB93" s="129"/>
      <c r="BE93" s="117"/>
      <c r="BF93" s="150"/>
      <c r="BG93" s="127"/>
      <c r="BH93" s="86"/>
      <c r="BJ93" s="72"/>
    </row>
    <row r="94" spans="2:62" ht="15.75" hidden="1" customHeight="1" x14ac:dyDescent="0.25">
      <c r="Q94" s="154">
        <v>4.4999999999999998E-2</v>
      </c>
      <c r="T94" s="153">
        <v>7.1099999999999997E-2</v>
      </c>
      <c r="V94" s="115"/>
      <c r="W94" s="151">
        <v>0.03</v>
      </c>
      <c r="X94" s="126"/>
      <c r="Y94" s="152">
        <v>1.4999999999999999E-2</v>
      </c>
      <c r="Z94" s="151">
        <v>0.02</v>
      </c>
      <c r="AA94" s="126"/>
      <c r="AB94" s="152">
        <v>1.4999999999999999E-2</v>
      </c>
      <c r="AC94" s="151">
        <v>0</v>
      </c>
      <c r="AD94" s="126"/>
      <c r="AF94"/>
      <c r="AG94"/>
      <c r="AH94"/>
      <c r="AJ94"/>
      <c r="AK94"/>
      <c r="AL94"/>
      <c r="AM94" s="80">
        <f t="shared" si="44"/>
        <v>0</v>
      </c>
      <c r="AO94" s="132">
        <v>-0.03</v>
      </c>
      <c r="AQ94" s="131">
        <v>6.5000000000000002E-2</v>
      </c>
      <c r="AR94" s="117">
        <f t="shared" si="45"/>
        <v>0</v>
      </c>
      <c r="AS94" s="150">
        <v>0</v>
      </c>
      <c r="AT94" s="130"/>
      <c r="AU94" s="86"/>
      <c r="AV94" s="64">
        <f t="shared" si="46"/>
        <v>0</v>
      </c>
      <c r="AW94" s="80">
        <f t="shared" si="47"/>
        <v>0</v>
      </c>
      <c r="AY94" s="60">
        <v>0.1</v>
      </c>
      <c r="AZ94" s="72"/>
      <c r="BB94" s="129"/>
      <c r="BE94" s="117"/>
      <c r="BF94" s="150"/>
      <c r="BG94" s="127"/>
      <c r="BH94" s="86"/>
      <c r="BJ94" s="72"/>
    </row>
    <row r="95" spans="2:62" ht="15.75" hidden="1" customHeight="1" x14ac:dyDescent="0.25">
      <c r="Q95" s="154">
        <v>4.4999999999999998E-2</v>
      </c>
      <c r="T95" s="153">
        <v>5.8599999999999999E-2</v>
      </c>
      <c r="V95" s="115"/>
      <c r="W95" s="151">
        <v>0.03</v>
      </c>
      <c r="X95" s="126"/>
      <c r="Y95" s="152">
        <v>1.4999999999999999E-2</v>
      </c>
      <c r="Z95" s="151">
        <v>2.1000000000000001E-2</v>
      </c>
      <c r="AA95" s="126"/>
      <c r="AB95" s="152">
        <v>1.4999999999999999E-2</v>
      </c>
      <c r="AC95" s="151">
        <v>0</v>
      </c>
      <c r="AD95" s="126"/>
      <c r="AF95"/>
      <c r="AG95"/>
      <c r="AH95"/>
      <c r="AJ95"/>
      <c r="AK95"/>
      <c r="AL95"/>
      <c r="AM95" s="80">
        <f t="shared" si="44"/>
        <v>0</v>
      </c>
      <c r="AO95" s="132">
        <v>-0.03</v>
      </c>
      <c r="AQ95" s="131">
        <v>6.5000000000000002E-2</v>
      </c>
      <c r="AR95" s="117">
        <f t="shared" si="45"/>
        <v>0</v>
      </c>
      <c r="AS95" s="150">
        <v>0</v>
      </c>
      <c r="AT95" s="130"/>
      <c r="AU95" s="86"/>
      <c r="AV95" s="64">
        <f t="shared" si="46"/>
        <v>0</v>
      </c>
      <c r="AW95" s="80">
        <f t="shared" si="47"/>
        <v>0</v>
      </c>
      <c r="AY95" s="60">
        <v>0.1</v>
      </c>
      <c r="AZ95" s="72"/>
      <c r="BB95" s="129"/>
      <c r="BE95" s="117"/>
      <c r="BF95" s="150"/>
      <c r="BG95" s="127"/>
      <c r="BH95" s="86"/>
      <c r="BJ95" s="72"/>
    </row>
    <row r="96" spans="2:62" ht="15.75" hidden="1" customHeight="1" x14ac:dyDescent="0.25">
      <c r="Q96" s="154">
        <v>4.4999999999999998E-2</v>
      </c>
      <c r="T96" s="153">
        <v>5.9400000000000001E-2</v>
      </c>
      <c r="V96" s="115"/>
      <c r="W96" s="151">
        <v>0.03</v>
      </c>
      <c r="X96" s="126"/>
      <c r="Y96" s="152">
        <v>0.01</v>
      </c>
      <c r="Z96" s="151">
        <v>3.2000000000000001E-2</v>
      </c>
      <c r="AA96" s="126"/>
      <c r="AB96" s="152">
        <v>0.01</v>
      </c>
      <c r="AC96" s="151">
        <v>0</v>
      </c>
      <c r="AD96" s="126"/>
      <c r="AF96"/>
      <c r="AG96"/>
      <c r="AH96"/>
      <c r="AJ96"/>
      <c r="AK96"/>
      <c r="AL96"/>
      <c r="AM96" s="80">
        <f t="shared" si="44"/>
        <v>0</v>
      </c>
      <c r="AO96" s="132">
        <v>-0.03</v>
      </c>
      <c r="AQ96" s="131">
        <v>6.5000000000000002E-2</v>
      </c>
      <c r="AR96" s="117">
        <f t="shared" si="45"/>
        <v>0</v>
      </c>
      <c r="AS96" s="150">
        <v>0</v>
      </c>
      <c r="AT96" s="130"/>
      <c r="AU96" s="86"/>
      <c r="AV96" s="64">
        <f t="shared" si="46"/>
        <v>0</v>
      </c>
      <c r="AW96" s="80">
        <f t="shared" si="47"/>
        <v>0</v>
      </c>
      <c r="AY96" s="60">
        <v>0.1</v>
      </c>
      <c r="AZ96" s="72"/>
      <c r="BB96" s="129"/>
      <c r="BE96" s="117"/>
      <c r="BF96" s="150"/>
      <c r="BG96" s="127"/>
      <c r="BH96" s="86"/>
      <c r="BJ96" s="72"/>
    </row>
    <row r="97" spans="2:62" ht="15.75" hidden="1" customHeight="1" thickBot="1" x14ac:dyDescent="0.3">
      <c r="Q97" s="135"/>
      <c r="T97" s="135"/>
      <c r="V97" s="115"/>
      <c r="W97" s="133"/>
      <c r="X97" s="126"/>
      <c r="Y97" s="115"/>
      <c r="Z97" s="133"/>
      <c r="AA97" s="126"/>
      <c r="AB97" s="115"/>
      <c r="AC97" s="133"/>
      <c r="AD97" s="126"/>
      <c r="AF97"/>
      <c r="AG97"/>
      <c r="AH97"/>
      <c r="AJ97"/>
      <c r="AK97"/>
      <c r="AL97"/>
      <c r="AM97" s="80">
        <f t="shared" si="44"/>
        <v>0</v>
      </c>
      <c r="AO97" s="132">
        <v>-0.03</v>
      </c>
      <c r="AQ97" s="131">
        <v>6.5000000000000002E-2</v>
      </c>
      <c r="AR97" s="117">
        <f t="shared" si="45"/>
        <v>0</v>
      </c>
      <c r="AS97" s="128"/>
      <c r="AT97" s="130"/>
      <c r="AU97" s="86"/>
      <c r="AV97" s="64">
        <f t="shared" si="46"/>
        <v>0</v>
      </c>
      <c r="AW97" s="80">
        <f t="shared" si="47"/>
        <v>0</v>
      </c>
      <c r="AY97" s="60">
        <v>0.1</v>
      </c>
      <c r="AZ97" s="72"/>
      <c r="BB97" s="129"/>
      <c r="BE97" s="117"/>
      <c r="BF97" s="128"/>
      <c r="BG97" s="127"/>
      <c r="BH97" s="86"/>
      <c r="BJ97" s="72"/>
    </row>
    <row r="98" spans="2:62" ht="16.5" hidden="1" customHeight="1" thickBot="1" x14ac:dyDescent="0.3">
      <c r="C98" s="149"/>
      <c r="D98" s="149"/>
      <c r="E98" s="147"/>
      <c r="F98" s="147"/>
      <c r="G98" s="147"/>
      <c r="H98" s="147"/>
      <c r="I98" s="148" t="e">
        <f>+#REF!/#REF!-1</f>
        <v>#REF!</v>
      </c>
      <c r="J98" s="147"/>
      <c r="K98" s="147"/>
      <c r="L98" s="148" t="e">
        <f>+#REF!/#REF!-1</f>
        <v>#REF!</v>
      </c>
      <c r="M98" s="147"/>
      <c r="N98" s="147"/>
      <c r="O98" s="145" t="e">
        <f>+#REF!/#REF!-1</f>
        <v>#REF!</v>
      </c>
      <c r="P98" s="147"/>
      <c r="Q98" s="146"/>
      <c r="R98" s="148" t="e">
        <f>+#REF!/#REF!-1</f>
        <v>#REF!</v>
      </c>
      <c r="S98" s="147"/>
      <c r="T98" s="146"/>
      <c r="U98" s="145" t="e">
        <f>+#REF!/#REF!-1</f>
        <v>#REF!</v>
      </c>
      <c r="V98" s="144"/>
      <c r="W98" s="143"/>
      <c r="X98" s="142" t="e">
        <f>+#REF!/#REF!-1</f>
        <v>#REF!</v>
      </c>
      <c r="Y98" s="141"/>
      <c r="Z98" s="140"/>
      <c r="AA98" s="139" t="e">
        <f>+#REF!/#REF!-1</f>
        <v>#REF!</v>
      </c>
      <c r="AB98" s="141"/>
      <c r="AC98" s="140"/>
      <c r="AD98" s="139" t="e">
        <v>#REF!</v>
      </c>
      <c r="AF98"/>
      <c r="AG98"/>
      <c r="AH98"/>
      <c r="AJ98"/>
      <c r="AK98"/>
      <c r="AL98"/>
      <c r="AM98" s="80">
        <f t="shared" si="44"/>
        <v>0</v>
      </c>
      <c r="AO98" s="132">
        <v>-0.03</v>
      </c>
      <c r="AQ98" s="131">
        <v>6.5000000000000002E-2</v>
      </c>
      <c r="AR98" s="117">
        <f t="shared" si="45"/>
        <v>0</v>
      </c>
      <c r="AS98" s="137"/>
      <c r="AT98" s="138" t="e">
        <f>+#REF!/#REF!-1</f>
        <v>#REF!</v>
      </c>
      <c r="AU98" s="86"/>
      <c r="AV98" s="64">
        <f t="shared" si="46"/>
        <v>0</v>
      </c>
      <c r="AW98" s="80" t="e">
        <f t="shared" si="47"/>
        <v>#REF!</v>
      </c>
      <c r="AY98" s="60">
        <v>0.1</v>
      </c>
      <c r="AZ98" s="72"/>
      <c r="BB98" s="129"/>
      <c r="BE98" s="117"/>
      <c r="BF98" s="137"/>
      <c r="BG98" s="136"/>
      <c r="BH98" s="86"/>
      <c r="BJ98" s="72"/>
    </row>
    <row r="99" spans="2:62" ht="15.75" hidden="1" customHeight="1" x14ac:dyDescent="0.25">
      <c r="Q99" s="135"/>
      <c r="T99" s="135"/>
      <c r="V99" s="115"/>
      <c r="W99" s="133"/>
      <c r="X99" s="126"/>
      <c r="Y99" s="115"/>
      <c r="Z99" s="133"/>
      <c r="AA99" s="126"/>
      <c r="AB99" s="115"/>
      <c r="AC99" s="133"/>
      <c r="AD99" s="126"/>
      <c r="AF99"/>
      <c r="AG99"/>
      <c r="AH99"/>
      <c r="AJ99"/>
      <c r="AK99"/>
      <c r="AL99"/>
      <c r="AM99" s="80">
        <f t="shared" si="44"/>
        <v>0</v>
      </c>
      <c r="AO99" s="132">
        <v>-0.03</v>
      </c>
      <c r="AQ99" s="131">
        <v>6.5000000000000002E-2</v>
      </c>
      <c r="AR99" s="117">
        <f t="shared" si="45"/>
        <v>0</v>
      </c>
      <c r="AS99" s="128"/>
      <c r="AT99" s="130"/>
      <c r="AU99" s="86"/>
      <c r="AV99" s="64">
        <f t="shared" si="46"/>
        <v>0</v>
      </c>
      <c r="AW99" s="80">
        <f t="shared" si="47"/>
        <v>0</v>
      </c>
      <c r="AY99" s="60">
        <v>0.1</v>
      </c>
      <c r="AZ99" s="72"/>
      <c r="BB99" s="129"/>
      <c r="BE99" s="117"/>
      <c r="BF99" s="128"/>
      <c r="BG99" s="127"/>
      <c r="BH99" s="86"/>
      <c r="BJ99" s="72"/>
    </row>
    <row r="100" spans="2:62" ht="15.75" hidden="1" customHeight="1" x14ac:dyDescent="0.25">
      <c r="Q100" s="134"/>
      <c r="T100" s="134"/>
      <c r="V100" s="115"/>
      <c r="W100" s="133"/>
      <c r="X100" s="126"/>
      <c r="Y100" s="115"/>
      <c r="Z100" s="133"/>
      <c r="AA100" s="126"/>
      <c r="AB100" s="115"/>
      <c r="AC100" s="133"/>
      <c r="AD100" s="126"/>
      <c r="AF100"/>
      <c r="AG100"/>
      <c r="AH100"/>
      <c r="AJ100"/>
      <c r="AK100"/>
      <c r="AL100"/>
      <c r="AM100" s="80">
        <f t="shared" si="44"/>
        <v>0</v>
      </c>
      <c r="AO100" s="132">
        <v>-0.03</v>
      </c>
      <c r="AQ100" s="131">
        <v>6.5000000000000002E-2</v>
      </c>
      <c r="AR100" s="117">
        <f t="shared" si="45"/>
        <v>0</v>
      </c>
      <c r="AS100" s="128"/>
      <c r="AT100" s="130"/>
      <c r="AU100" s="86"/>
      <c r="AV100" s="64">
        <f t="shared" si="46"/>
        <v>0</v>
      </c>
      <c r="AW100" s="80">
        <f t="shared" si="47"/>
        <v>0</v>
      </c>
      <c r="AY100" s="60">
        <v>0.1</v>
      </c>
      <c r="AZ100" s="72"/>
      <c r="BB100" s="129"/>
      <c r="BE100" s="117"/>
      <c r="BF100" s="128"/>
      <c r="BG100" s="127"/>
      <c r="BH100" s="86"/>
      <c r="BJ100" s="72"/>
    </row>
    <row r="101" spans="2:62" ht="15.75" hidden="1" customHeight="1" x14ac:dyDescent="0.25">
      <c r="D101" s="58" t="s">
        <v>150</v>
      </c>
      <c r="Q101" s="134"/>
      <c r="T101" s="134"/>
      <c r="V101" s="115"/>
      <c r="W101" s="133"/>
      <c r="X101" s="126"/>
      <c r="Y101" s="115"/>
      <c r="Z101" s="133"/>
      <c r="AA101" s="126"/>
      <c r="AB101" s="115"/>
      <c r="AC101" s="133"/>
      <c r="AD101" s="126"/>
      <c r="AF101"/>
      <c r="AG101"/>
      <c r="AH101"/>
      <c r="AJ101"/>
      <c r="AK101"/>
      <c r="AL101"/>
      <c r="AM101" s="80">
        <f t="shared" si="44"/>
        <v>0</v>
      </c>
      <c r="AO101" s="132">
        <v>-0.03</v>
      </c>
      <c r="AQ101" s="131">
        <v>6.5000000000000002E-2</v>
      </c>
      <c r="AR101" s="117">
        <f t="shared" si="45"/>
        <v>0</v>
      </c>
      <c r="AS101" s="128"/>
      <c r="AT101" s="130"/>
      <c r="AU101" s="86"/>
      <c r="AV101" s="64">
        <f t="shared" si="46"/>
        <v>0</v>
      </c>
      <c r="AW101" s="80">
        <f t="shared" si="47"/>
        <v>0</v>
      </c>
      <c r="AY101" s="60">
        <v>0.1</v>
      </c>
      <c r="AZ101" s="72"/>
      <c r="BB101" s="129"/>
      <c r="BE101" s="117"/>
      <c r="BF101" s="128"/>
      <c r="BG101" s="127"/>
      <c r="BH101" s="86"/>
      <c r="BJ101" s="72"/>
    </row>
    <row r="102" spans="2:62" x14ac:dyDescent="0.25">
      <c r="B102" s="58" t="s">
        <v>149</v>
      </c>
      <c r="V102" s="115"/>
      <c r="W102" s="114"/>
      <c r="X102" s="126">
        <v>4949425</v>
      </c>
      <c r="Y102" s="125"/>
      <c r="Z102" s="124"/>
      <c r="AA102" s="123">
        <v>5812361.1799999997</v>
      </c>
      <c r="AB102" s="125">
        <v>459.66</v>
      </c>
      <c r="AC102" s="124">
        <v>312</v>
      </c>
      <c r="AD102" s="123">
        <v>6351046.6299999999</v>
      </c>
      <c r="AF102" s="122">
        <v>393</v>
      </c>
      <c r="AG102" s="74">
        <v>369</v>
      </c>
      <c r="AH102" s="121">
        <v>6519286.2758278139</v>
      </c>
      <c r="AJ102" s="122">
        <f>ROUND((AL102/AK102)/45,0)</f>
        <v>401</v>
      </c>
      <c r="AK102" s="74">
        <v>369</v>
      </c>
      <c r="AL102" s="121">
        <v>6658060.3300000001</v>
      </c>
      <c r="AM102" s="80">
        <f t="shared" si="44"/>
        <v>138774.05417218618</v>
      </c>
      <c r="AO102" s="119">
        <v>-0.03</v>
      </c>
      <c r="AQ102" s="118">
        <v>6.5000000000000002E-2</v>
      </c>
      <c r="AR102" s="117">
        <f t="shared" si="45"/>
        <v>388</v>
      </c>
      <c r="AS102" s="74">
        <f>ROUND(AK102*(1+AQ102),0)</f>
        <v>393</v>
      </c>
      <c r="AT102" s="120">
        <f>AL102*(1+SUM(AO102:AQ102))</f>
        <v>6891092.4415499996</v>
      </c>
      <c r="AU102" s="86"/>
      <c r="AV102" s="64">
        <f t="shared" si="46"/>
        <v>-13</v>
      </c>
      <c r="AW102" s="80">
        <f t="shared" si="47"/>
        <v>233032.11154999956</v>
      </c>
      <c r="AY102" s="60">
        <v>0.1</v>
      </c>
      <c r="AZ102" s="72"/>
      <c r="BB102" s="119">
        <f>BB88</f>
        <v>0</v>
      </c>
      <c r="BD102" s="118">
        <f>BD6</f>
        <v>0.03</v>
      </c>
      <c r="BE102" s="117">
        <f>ROUNDDOWN(AR102*(1+BB102),0)</f>
        <v>388</v>
      </c>
      <c r="BF102" s="74">
        <f>ROUND(AS102*(1+BD102),0)</f>
        <v>405</v>
      </c>
      <c r="BG102" s="116">
        <f>AT102*(1+SUM(BB102:BD102))</f>
        <v>7097825.2147964993</v>
      </c>
      <c r="BH102" s="86"/>
      <c r="BJ102" s="72"/>
    </row>
    <row r="103" spans="2:62" ht="16.5" thickBot="1" x14ac:dyDescent="0.3">
      <c r="B103" s="58" t="s">
        <v>148</v>
      </c>
      <c r="C103" s="91"/>
      <c r="V103" s="115"/>
      <c r="W103" s="114"/>
      <c r="X103" s="111">
        <f>X86+X102+X88</f>
        <v>41137512.780000001</v>
      </c>
      <c r="Y103" s="113">
        <f>SUM(Y86:Y102)</f>
        <v>4423.7084848484865</v>
      </c>
      <c r="Z103" s="112"/>
      <c r="AA103" s="111">
        <f>AA86+AA102+AA88</f>
        <v>41196477.68</v>
      </c>
      <c r="AB103" s="113">
        <f>SUM(AB86:AB102)</f>
        <v>4744.1294543209888</v>
      </c>
      <c r="AC103" s="112"/>
      <c r="AD103" s="111">
        <f>AD86+AD102+AD88</f>
        <v>41264947.770000003</v>
      </c>
      <c r="AF103" s="105">
        <f>SUM(AF86:AF102)</f>
        <v>4552</v>
      </c>
      <c r="AG103" s="110"/>
      <c r="AH103" s="109">
        <f>AH86+AH102+AH88</f>
        <v>41586454.27582781</v>
      </c>
      <c r="AJ103" s="105">
        <f>AJ86+AJ88+AJ102</f>
        <v>4545</v>
      </c>
      <c r="AK103" s="110"/>
      <c r="AL103" s="109">
        <f>AL86+AL102+AL88</f>
        <v>41670959.309999995</v>
      </c>
      <c r="AM103" s="108">
        <f t="shared" si="44"/>
        <v>84505.034172184765</v>
      </c>
      <c r="AO103" s="89"/>
      <c r="AR103" s="105">
        <f>AR86+AR88+AR102</f>
        <v>4431.9130494653455</v>
      </c>
      <c r="AS103" s="104"/>
      <c r="AT103" s="107">
        <f>AT86+AT102+AT88</f>
        <v>43174793.293621577</v>
      </c>
      <c r="AV103" s="106">
        <f t="shared" si="46"/>
        <v>-113.08695053465453</v>
      </c>
      <c r="AW103" s="76">
        <f t="shared" si="47"/>
        <v>1503833.9836215824</v>
      </c>
      <c r="AY103" s="60">
        <v>0.1</v>
      </c>
      <c r="AZ103" s="72">
        <v>4440000</v>
      </c>
      <c r="BB103" s="89"/>
      <c r="BE103" s="105">
        <f>BE86+BE88+BE102</f>
        <v>4431.9311232815198</v>
      </c>
      <c r="BF103" s="104"/>
      <c r="BG103" s="103">
        <f>BG86+BG102+BG88</f>
        <v>44502461.106255859</v>
      </c>
      <c r="BI103" s="102">
        <f>('[1]10-yr Projection'!E109)</f>
        <v>0.1</v>
      </c>
      <c r="BJ103" s="72">
        <f>ROUND(BG103*BI103,0)+500000</f>
        <v>4950246</v>
      </c>
    </row>
    <row r="104" spans="2:62" ht="17.25" thickTop="1" thickBot="1" x14ac:dyDescent="0.3">
      <c r="V104" s="101"/>
      <c r="W104" s="100"/>
      <c r="X104" s="99"/>
      <c r="Y104" s="101"/>
      <c r="Z104" s="100"/>
      <c r="AA104" s="99"/>
      <c r="AB104" s="101"/>
      <c r="AC104" s="100"/>
      <c r="AD104" s="99"/>
      <c r="AF104" s="98"/>
      <c r="AG104" s="97"/>
      <c r="AH104" s="96"/>
      <c r="AJ104" s="98"/>
      <c r="AK104" s="97"/>
      <c r="AL104" s="96"/>
      <c r="AR104" s="94"/>
      <c r="AS104" s="93"/>
      <c r="AT104" s="95"/>
      <c r="BE104" s="94"/>
      <c r="BF104" s="93"/>
      <c r="BG104" s="92"/>
    </row>
    <row r="105" spans="2:62" ht="16.5" thickBot="1" x14ac:dyDescent="0.3">
      <c r="C105" s="91"/>
      <c r="AC105" s="88" t="s">
        <v>147</v>
      </c>
      <c r="AD105" s="90">
        <f>AD103-AA103</f>
        <v>68470.090000003576</v>
      </c>
      <c r="AG105" s="88"/>
      <c r="AH105" s="90">
        <f>AH103-AD103</f>
        <v>321506.50582780689</v>
      </c>
      <c r="AK105" s="88" t="s">
        <v>146</v>
      </c>
      <c r="AL105" s="90">
        <f>AL103-AD103</f>
        <v>406011.53999999166</v>
      </c>
      <c r="AR105" s="74"/>
      <c r="AS105" s="74"/>
      <c r="AT105" s="75"/>
      <c r="AU105" s="85"/>
      <c r="AY105" s="83" t="s">
        <v>145</v>
      </c>
      <c r="AZ105" s="82">
        <f>AZ103-AL108</f>
        <v>221448</v>
      </c>
      <c r="BE105" s="74"/>
      <c r="BF105" s="74"/>
      <c r="BG105" s="73"/>
      <c r="BH105" s="85"/>
      <c r="BI105" s="83" t="s">
        <v>145</v>
      </c>
      <c r="BJ105" s="82">
        <f>BJ103-AZ103</f>
        <v>510246</v>
      </c>
    </row>
    <row r="106" spans="2:62" ht="16.5" thickBot="1" x14ac:dyDescent="0.3">
      <c r="AC106" s="88" t="s">
        <v>144</v>
      </c>
      <c r="AD106" s="87">
        <f>AD105/AA103</f>
        <v>1.6620374812588486E-3</v>
      </c>
      <c r="AF106" s="89"/>
      <c r="AG106" s="88"/>
      <c r="AH106" s="87">
        <f>AH105/AD103</f>
        <v>7.7912737856788246E-3</v>
      </c>
      <c r="AJ106" s="89">
        <f>(AJ103-AB103)/AB103</f>
        <v>-4.1973866067170691E-2</v>
      </c>
      <c r="AK106" s="88" t="s">
        <v>144</v>
      </c>
      <c r="AL106" s="87">
        <f>AL105/AD103</f>
        <v>9.8391385895601636E-3</v>
      </c>
      <c r="AR106" s="74"/>
      <c r="AS106" s="74"/>
      <c r="AT106" s="75"/>
      <c r="AU106" s="85"/>
      <c r="AW106" s="86" t="e">
        <f>AW103/AQ103</f>
        <v>#DIV/0!</v>
      </c>
      <c r="BE106" s="74"/>
      <c r="BF106" s="74"/>
      <c r="BG106" s="73"/>
      <c r="BH106" s="85"/>
    </row>
    <row r="107" spans="2:62" ht="16.5" thickBot="1" x14ac:dyDescent="0.3">
      <c r="AR107" s="74"/>
      <c r="AS107" s="74"/>
      <c r="AT107" s="75"/>
      <c r="AY107" s="83" t="s">
        <v>143</v>
      </c>
      <c r="AZ107" s="82">
        <f>AT103-AZ103</f>
        <v>38734793.293621577</v>
      </c>
      <c r="BE107" s="74"/>
      <c r="BF107" s="74"/>
      <c r="BG107" s="73"/>
      <c r="BI107" s="83" t="s">
        <v>143</v>
      </c>
      <c r="BJ107" s="82">
        <f>BG103-BJ103</f>
        <v>39552215.106255859</v>
      </c>
    </row>
    <row r="108" spans="2:62" ht="16.5" thickBot="1" x14ac:dyDescent="0.3">
      <c r="AB108" s="84" t="s">
        <v>142</v>
      </c>
      <c r="AC108" s="81"/>
      <c r="AD108" s="62">
        <v>4594335.3499999996</v>
      </c>
      <c r="AF108" s="84" t="s">
        <v>142</v>
      </c>
      <c r="AG108" s="81"/>
      <c r="AH108" s="62">
        <v>4204496</v>
      </c>
      <c r="AJ108" s="84" t="s">
        <v>142</v>
      </c>
      <c r="AK108" s="81"/>
      <c r="AL108" s="62">
        <v>4218552</v>
      </c>
      <c r="AM108" s="80">
        <f>AL108-AH108</f>
        <v>14056</v>
      </c>
      <c r="AN108" s="80">
        <f>AL108-AD108</f>
        <v>-375783.34999999963</v>
      </c>
      <c r="AR108" s="74"/>
      <c r="AS108" s="74"/>
      <c r="AT108" s="75"/>
      <c r="BE108" s="74"/>
      <c r="BF108" s="74"/>
      <c r="BG108" s="73"/>
    </row>
    <row r="109" spans="2:62" ht="16.5" thickBot="1" x14ac:dyDescent="0.3">
      <c r="AB109" s="84" t="s">
        <v>141</v>
      </c>
      <c r="AD109" s="62">
        <f>AD103-AD108</f>
        <v>36670612.420000002</v>
      </c>
      <c r="AF109" s="84" t="s">
        <v>141</v>
      </c>
      <c r="AH109" s="62">
        <f>AH103-AH108</f>
        <v>37381958.27582781</v>
      </c>
      <c r="AJ109" s="84" t="s">
        <v>141</v>
      </c>
      <c r="AL109" s="62">
        <f>AL103-AL108</f>
        <v>37452407.309999995</v>
      </c>
      <c r="AM109" s="80">
        <f>AL109-AH109</f>
        <v>70449.034172184765</v>
      </c>
      <c r="AN109" s="80">
        <f>AL109-AD109</f>
        <v>781794.88999999315</v>
      </c>
      <c r="AR109" s="74"/>
      <c r="AS109" s="74"/>
      <c r="AT109" s="75"/>
      <c r="AY109" s="83" t="s">
        <v>140</v>
      </c>
      <c r="AZ109" s="82">
        <f>AZ107-AL109</f>
        <v>1282385.9836215824</v>
      </c>
      <c r="BE109" s="74"/>
      <c r="BF109" s="74"/>
      <c r="BG109" s="73"/>
      <c r="BI109" s="83" t="s">
        <v>140</v>
      </c>
      <c r="BJ109" s="82">
        <f>BJ107-AZ107</f>
        <v>817421.81263428181</v>
      </c>
    </row>
    <row r="110" spans="2:62" x14ac:dyDescent="0.25">
      <c r="AB110" s="81" t="s">
        <v>139</v>
      </c>
      <c r="AD110" s="62">
        <f>'[1]FY19 Initial Budget'!J394+'[1]FY19 Initial Budget'!K394</f>
        <v>1717397.56</v>
      </c>
      <c r="AF110" s="81" t="s">
        <v>139</v>
      </c>
      <c r="AH110" s="62">
        <v>1797503.0299853066</v>
      </c>
      <c r="AJ110" s="81" t="s">
        <v>139</v>
      </c>
      <c r="AL110" s="62">
        <v>1833335.3900000001</v>
      </c>
      <c r="AM110" s="80">
        <f>AL110-AH110</f>
        <v>35832.360014693579</v>
      </c>
      <c r="AN110" s="80">
        <f>AL110-AD110</f>
        <v>115937.83000000007</v>
      </c>
      <c r="AR110" s="74"/>
      <c r="AS110" s="74"/>
      <c r="AT110" s="75"/>
      <c r="BE110" s="74"/>
      <c r="BF110" s="74"/>
      <c r="BG110" s="73"/>
    </row>
    <row r="111" spans="2:62" ht="16.5" thickBot="1" x14ac:dyDescent="0.3">
      <c r="AB111" s="78" t="s">
        <v>138</v>
      </c>
      <c r="AC111" s="78"/>
      <c r="AD111" s="77">
        <f>AD109+AD110</f>
        <v>38388009.980000004</v>
      </c>
      <c r="AF111" s="78" t="s">
        <v>138</v>
      </c>
      <c r="AG111" s="78"/>
      <c r="AH111" s="77">
        <f>AH109+AH110</f>
        <v>39179461.305813119</v>
      </c>
      <c r="AI111" s="79"/>
      <c r="AJ111" s="78" t="s">
        <v>138</v>
      </c>
      <c r="AK111" s="78"/>
      <c r="AL111" s="77">
        <f>AL109+AL110</f>
        <v>39285742.699999996</v>
      </c>
      <c r="AM111" s="76">
        <f>AL111-AH111</f>
        <v>106281.39418687671</v>
      </c>
      <c r="AR111" s="74"/>
      <c r="AS111" s="74"/>
      <c r="AT111" s="75"/>
      <c r="BE111" s="74"/>
      <c r="BF111" s="74"/>
      <c r="BG111" s="73"/>
    </row>
    <row r="112" spans="2:62" ht="16.5" thickTop="1" x14ac:dyDescent="0.25">
      <c r="AR112" s="74"/>
      <c r="AS112" s="74"/>
      <c r="AT112" s="75"/>
      <c r="AZ112" s="72">
        <v>4440000</v>
      </c>
      <c r="BE112" s="74"/>
      <c r="BF112" s="74"/>
      <c r="BG112" s="73"/>
      <c r="BJ112" s="72"/>
    </row>
    <row r="113" spans="44:62" x14ac:dyDescent="0.25">
      <c r="AR113" s="74"/>
      <c r="AS113" s="74"/>
      <c r="AT113" s="75"/>
      <c r="AZ113" s="72">
        <f>AZ103-AZ112</f>
        <v>0</v>
      </c>
      <c r="BE113" s="74"/>
      <c r="BF113" s="74"/>
      <c r="BG113" s="73"/>
      <c r="BJ113" s="72"/>
    </row>
    <row r="114" spans="44:62" x14ac:dyDescent="0.25">
      <c r="AS114" s="68"/>
      <c r="AT114" s="71"/>
      <c r="BF114" s="68"/>
      <c r="BG114" s="70"/>
    </row>
    <row r="115" spans="44:62" x14ac:dyDescent="0.25">
      <c r="AS115" s="68"/>
      <c r="AT115" s="69"/>
      <c r="BF115" s="68"/>
      <c r="BG115" s="67"/>
    </row>
  </sheetData>
  <mergeCells count="14">
    <mergeCell ref="AJ4:AL4"/>
    <mergeCell ref="AR4:AT4"/>
    <mergeCell ref="BE4:BG4"/>
    <mergeCell ref="D3:AD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F4:AH4"/>
  </mergeCells>
  <printOptions horizontalCentered="1"/>
  <pageMargins left="0.25" right="0.25" top="0.5" bottom="0.5" header="0.5" footer="0.5"/>
  <pageSetup paperSize="5" scale="31" orientation="landscape" horizontalDpi="300" verticalDpi="300" r:id="rId1"/>
  <headerFooter alignWithMargins="0">
    <oddHeader>&amp;C&amp;"Garamond,Regular"&amp;24 2017-18 Tuition Revenue and Remissions Projection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66FF"/>
    <pageSetUpPr fitToPage="1"/>
  </sheetPr>
  <dimension ref="A1:G88"/>
  <sheetViews>
    <sheetView zoomScale="70" zoomScaleNormal="70" workbookViewId="0">
      <selection activeCell="G41" sqref="G41:G57"/>
    </sheetView>
  </sheetViews>
  <sheetFormatPr defaultRowHeight="12.75" x14ac:dyDescent="0.2"/>
  <cols>
    <col min="1" max="1" width="22" style="2" bestFit="1" customWidth="1"/>
    <col min="2" max="2" width="7.42578125" style="2" bestFit="1" customWidth="1"/>
    <col min="3" max="3" width="30.5703125" style="2" bestFit="1" customWidth="1"/>
    <col min="4" max="5" width="15.7109375" style="5" customWidth="1"/>
    <col min="6" max="6" width="20.7109375" style="5" customWidth="1"/>
    <col min="7" max="7" width="15.140625" style="5" customWidth="1"/>
    <col min="8" max="8" width="10.28515625" style="3" bestFit="1" customWidth="1"/>
    <col min="9" max="16384" width="9.140625" style="3"/>
  </cols>
  <sheetData>
    <row r="1" spans="1:7" ht="21" x14ac:dyDescent="0.35">
      <c r="A1" s="6" t="s">
        <v>93</v>
      </c>
    </row>
    <row r="2" spans="1:7" s="23" customFormat="1" ht="50.25" customHeight="1" x14ac:dyDescent="0.25">
      <c r="A2" s="20" t="s">
        <v>95</v>
      </c>
      <c r="B2" s="20"/>
      <c r="C2" s="20"/>
      <c r="D2" s="21" t="s">
        <v>88</v>
      </c>
      <c r="E2" s="21" t="s">
        <v>89</v>
      </c>
      <c r="F2" s="21" t="s">
        <v>0</v>
      </c>
      <c r="G2" s="22" t="s">
        <v>94</v>
      </c>
    </row>
    <row r="3" spans="1:7" ht="15.75" x14ac:dyDescent="0.25">
      <c r="A3" s="8"/>
      <c r="B3" s="8"/>
      <c r="C3" s="8"/>
      <c r="D3" s="9"/>
      <c r="E3" s="9"/>
      <c r="F3" s="9"/>
      <c r="G3" s="9"/>
    </row>
    <row r="4" spans="1:7" ht="15.75" x14ac:dyDescent="0.25">
      <c r="A4" s="8"/>
      <c r="B4" s="8"/>
      <c r="C4" s="8"/>
      <c r="D4" s="9"/>
      <c r="E4" s="9"/>
      <c r="F4" s="9"/>
      <c r="G4" s="9"/>
    </row>
    <row r="5" spans="1:7" ht="15.75" x14ac:dyDescent="0.25">
      <c r="A5" s="8" t="s">
        <v>1</v>
      </c>
      <c r="B5" s="8" t="s">
        <v>2</v>
      </c>
      <c r="C5" s="8" t="s">
        <v>3</v>
      </c>
      <c r="D5" s="9">
        <v>6482445</v>
      </c>
      <c r="E5" s="9">
        <v>7008523</v>
      </c>
      <c r="F5" s="9">
        <v>7142680</v>
      </c>
      <c r="G5" s="9">
        <v>5075825</v>
      </c>
    </row>
    <row r="6" spans="1:7" ht="15.75" x14ac:dyDescent="0.25">
      <c r="A6" s="8"/>
      <c r="B6" s="8"/>
      <c r="C6" s="8" t="s">
        <v>92</v>
      </c>
      <c r="D6" s="24">
        <v>0</v>
      </c>
      <c r="E6" s="24">
        <v>0</v>
      </c>
      <c r="F6" s="24">
        <v>97588</v>
      </c>
      <c r="G6" s="24">
        <v>0</v>
      </c>
    </row>
    <row r="7" spans="1:7" ht="15.75" x14ac:dyDescent="0.25">
      <c r="A7" s="8"/>
      <c r="B7" s="8"/>
      <c r="C7" s="8"/>
      <c r="D7" s="9"/>
      <c r="E7" s="9"/>
      <c r="F7" s="9"/>
      <c r="G7" s="9"/>
    </row>
    <row r="8" spans="1:7" s="1" customFormat="1" ht="15.75" x14ac:dyDescent="0.25">
      <c r="A8" s="7"/>
      <c r="B8" s="7"/>
      <c r="C8" s="7"/>
      <c r="D8" s="10">
        <f>SUM(D5:D7)</f>
        <v>6482445</v>
      </c>
      <c r="E8" s="10">
        <f>SUM(E5:E7)</f>
        <v>7008523</v>
      </c>
      <c r="F8" s="10">
        <f>SUM(F5:F7)</f>
        <v>7240268</v>
      </c>
      <c r="G8" s="10">
        <f>SUM(G5:G7)</f>
        <v>5075825</v>
      </c>
    </row>
    <row r="9" spans="1:7" ht="15.75" x14ac:dyDescent="0.25">
      <c r="A9" s="8"/>
      <c r="B9" s="8"/>
      <c r="C9" s="8"/>
      <c r="D9" s="9"/>
      <c r="E9" s="9"/>
      <c r="F9" s="9"/>
      <c r="G9" s="9"/>
    </row>
    <row r="10" spans="1:7" ht="15.75" x14ac:dyDescent="0.25">
      <c r="A10" s="8" t="s">
        <v>1</v>
      </c>
      <c r="B10" s="8" t="s">
        <v>6</v>
      </c>
      <c r="C10" s="8" t="s">
        <v>7</v>
      </c>
      <c r="D10" s="9">
        <v>19647990</v>
      </c>
      <c r="E10" s="9">
        <v>20031123</v>
      </c>
      <c r="F10" s="9">
        <v>20563523</v>
      </c>
      <c r="G10" s="9">
        <v>13730820</v>
      </c>
    </row>
    <row r="11" spans="1:7" ht="15.75" x14ac:dyDescent="0.25">
      <c r="A11" s="8" t="s">
        <v>90</v>
      </c>
      <c r="B11" s="8" t="s">
        <v>8</v>
      </c>
      <c r="C11" s="8" t="s">
        <v>9</v>
      </c>
      <c r="D11" s="24">
        <v>525735</v>
      </c>
      <c r="E11" s="24">
        <v>385726</v>
      </c>
      <c r="F11" s="24">
        <v>400711</v>
      </c>
      <c r="G11" s="24">
        <v>342869</v>
      </c>
    </row>
    <row r="12" spans="1:7" ht="15.75" x14ac:dyDescent="0.25">
      <c r="A12" s="8"/>
      <c r="B12" s="8"/>
      <c r="C12" s="8"/>
      <c r="D12" s="9"/>
      <c r="E12" s="9"/>
      <c r="F12" s="9"/>
      <c r="G12" s="9"/>
    </row>
    <row r="13" spans="1:7" ht="15.75" x14ac:dyDescent="0.25">
      <c r="A13" s="8"/>
      <c r="B13" s="8"/>
      <c r="C13" s="8"/>
      <c r="D13" s="10">
        <f>SUM(D10:D12)</f>
        <v>20173725</v>
      </c>
      <c r="E13" s="10">
        <f>SUM(E10:E12)</f>
        <v>20416849</v>
      </c>
      <c r="F13" s="10">
        <f>SUM(F10:F12)</f>
        <v>20964234</v>
      </c>
      <c r="G13" s="10">
        <f>SUM(G10:G12)</f>
        <v>14073689</v>
      </c>
    </row>
    <row r="14" spans="1:7" ht="15.75" x14ac:dyDescent="0.25">
      <c r="A14" s="8"/>
      <c r="B14" s="8"/>
      <c r="C14" s="8"/>
      <c r="D14" s="9"/>
      <c r="E14" s="9"/>
      <c r="F14" s="9"/>
      <c r="G14" s="9"/>
    </row>
    <row r="15" spans="1:7" ht="15.75" x14ac:dyDescent="0.25">
      <c r="A15" s="8" t="s">
        <v>1</v>
      </c>
      <c r="B15" s="8" t="s">
        <v>10</v>
      </c>
      <c r="C15" s="8" t="s">
        <v>11</v>
      </c>
      <c r="D15" s="9">
        <v>5151195</v>
      </c>
      <c r="E15" s="9">
        <v>4716883</v>
      </c>
      <c r="F15" s="9">
        <v>5029659</v>
      </c>
      <c r="G15" s="9">
        <v>2985973</v>
      </c>
    </row>
    <row r="16" spans="1:7" ht="15.75" x14ac:dyDescent="0.25">
      <c r="A16" s="8" t="s">
        <v>91</v>
      </c>
      <c r="B16" s="8" t="s">
        <v>12</v>
      </c>
      <c r="C16" s="8" t="s">
        <v>13</v>
      </c>
      <c r="D16" s="24">
        <v>362251</v>
      </c>
      <c r="E16" s="24">
        <v>263301</v>
      </c>
      <c r="F16" s="24">
        <v>278138</v>
      </c>
      <c r="G16" s="24">
        <v>289202</v>
      </c>
    </row>
    <row r="17" spans="1:7" ht="15.75" x14ac:dyDescent="0.25">
      <c r="A17" s="8"/>
      <c r="B17" s="8"/>
      <c r="C17" s="8"/>
      <c r="D17" s="9"/>
      <c r="E17" s="9"/>
      <c r="F17" s="9"/>
      <c r="G17" s="9"/>
    </row>
    <row r="18" spans="1:7" ht="15.75" x14ac:dyDescent="0.25">
      <c r="A18" s="8"/>
      <c r="B18" s="8"/>
      <c r="C18" s="8"/>
      <c r="D18" s="10">
        <f>SUM(D15:D17)</f>
        <v>5513446</v>
      </c>
      <c r="E18" s="10">
        <f>SUM(E15:E17)</f>
        <v>4980184</v>
      </c>
      <c r="F18" s="10">
        <f>SUM(F15:F17)</f>
        <v>5307797</v>
      </c>
      <c r="G18" s="10">
        <f>SUM(G15:G17)</f>
        <v>3275175</v>
      </c>
    </row>
    <row r="19" spans="1:7" ht="15.75" x14ac:dyDescent="0.25">
      <c r="A19" s="8"/>
      <c r="B19" s="8"/>
      <c r="C19" s="8"/>
      <c r="D19" s="9"/>
      <c r="E19" s="9"/>
      <c r="F19" s="9"/>
      <c r="G19" s="9"/>
    </row>
    <row r="20" spans="1:7" ht="15.75" x14ac:dyDescent="0.25">
      <c r="A20" s="8"/>
      <c r="B20" s="8"/>
      <c r="C20" s="8"/>
      <c r="D20" s="9"/>
      <c r="E20" s="9"/>
      <c r="F20" s="9"/>
      <c r="G20" s="9"/>
    </row>
    <row r="21" spans="1:7" ht="15.75" x14ac:dyDescent="0.25">
      <c r="A21" s="8" t="s">
        <v>1</v>
      </c>
      <c r="B21" s="8" t="s">
        <v>14</v>
      </c>
      <c r="C21" s="8" t="s">
        <v>15</v>
      </c>
      <c r="D21" s="9">
        <v>6519286</v>
      </c>
      <c r="E21" s="9">
        <v>6658060</v>
      </c>
      <c r="F21" s="9">
        <v>6891092</v>
      </c>
      <c r="G21" s="9">
        <v>6043375</v>
      </c>
    </row>
    <row r="22" spans="1:7" ht="15.75" x14ac:dyDescent="0.25">
      <c r="A22" s="8"/>
      <c r="B22" s="8"/>
      <c r="C22" s="8"/>
      <c r="D22" s="9"/>
      <c r="E22" s="9"/>
      <c r="F22" s="9"/>
      <c r="G22" s="9"/>
    </row>
    <row r="23" spans="1:7" ht="15.75" x14ac:dyDescent="0.25">
      <c r="A23" s="8"/>
      <c r="B23" s="8"/>
      <c r="C23" s="8"/>
      <c r="D23" s="10">
        <f>SUM(D21:D22)</f>
        <v>6519286</v>
      </c>
      <c r="E23" s="10">
        <f>SUM(E21:E22)</f>
        <v>6658060</v>
      </c>
      <c r="F23" s="10">
        <f>SUM(F21:F22)</f>
        <v>6891092</v>
      </c>
      <c r="G23" s="10">
        <f>SUM(G21:G22)</f>
        <v>6043375</v>
      </c>
    </row>
    <row r="24" spans="1:7" ht="15.75" x14ac:dyDescent="0.25">
      <c r="A24" s="8"/>
      <c r="B24" s="8"/>
      <c r="C24" s="8"/>
      <c r="D24" s="9"/>
      <c r="E24" s="9"/>
      <c r="F24" s="9"/>
      <c r="G24" s="9"/>
    </row>
    <row r="25" spans="1:7" ht="15.75" x14ac:dyDescent="0.25">
      <c r="A25" s="8" t="s">
        <v>1</v>
      </c>
      <c r="B25" s="8" t="s">
        <v>16</v>
      </c>
      <c r="C25" s="8" t="s">
        <v>17</v>
      </c>
      <c r="D25" s="9">
        <v>1528956</v>
      </c>
      <c r="E25" s="9">
        <v>1472763</v>
      </c>
      <c r="F25" s="9">
        <v>1574438</v>
      </c>
      <c r="G25" s="9">
        <v>798616</v>
      </c>
    </row>
    <row r="26" spans="1:7" ht="15.75" x14ac:dyDescent="0.25">
      <c r="A26" s="8" t="s">
        <v>90</v>
      </c>
      <c r="B26" s="8" t="s">
        <v>18</v>
      </c>
      <c r="C26" s="8" t="s">
        <v>19</v>
      </c>
      <c r="D26" s="24">
        <v>139392</v>
      </c>
      <c r="E26" s="24">
        <v>123550</v>
      </c>
      <c r="F26" s="24">
        <v>130042</v>
      </c>
      <c r="G26" s="24">
        <v>129025</v>
      </c>
    </row>
    <row r="27" spans="1:7" ht="15.75" x14ac:dyDescent="0.25">
      <c r="A27" s="8"/>
      <c r="B27" s="8"/>
      <c r="C27" s="8"/>
      <c r="D27" s="9"/>
      <c r="E27" s="9"/>
      <c r="F27" s="9"/>
      <c r="G27" s="9"/>
    </row>
    <row r="28" spans="1:7" ht="15.75" x14ac:dyDescent="0.25">
      <c r="A28" s="8"/>
      <c r="B28" s="8"/>
      <c r="C28" s="8"/>
      <c r="D28" s="10">
        <f>SUM(D25:D27)</f>
        <v>1668348</v>
      </c>
      <c r="E28" s="10">
        <f>SUM(E25:E27)</f>
        <v>1596313</v>
      </c>
      <c r="F28" s="10">
        <f>SUM(F25:F27)</f>
        <v>1704480</v>
      </c>
      <c r="G28" s="10">
        <f>SUM(G25:G27)</f>
        <v>927641</v>
      </c>
    </row>
    <row r="29" spans="1:7" ht="15.75" x14ac:dyDescent="0.25">
      <c r="A29" s="8"/>
      <c r="B29" s="8"/>
      <c r="C29" s="8"/>
      <c r="D29" s="9"/>
      <c r="E29" s="9"/>
      <c r="F29" s="9"/>
      <c r="G29" s="9"/>
    </row>
    <row r="30" spans="1:7" ht="15.75" x14ac:dyDescent="0.25">
      <c r="A30" s="8" t="s">
        <v>1</v>
      </c>
      <c r="B30" s="8" t="s">
        <v>20</v>
      </c>
      <c r="C30" s="8" t="s">
        <v>21</v>
      </c>
      <c r="D30" s="9">
        <v>834480</v>
      </c>
      <c r="E30" s="9">
        <v>702019</v>
      </c>
      <c r="F30" s="9">
        <v>749802</v>
      </c>
      <c r="G30" s="9">
        <v>490065</v>
      </c>
    </row>
    <row r="31" spans="1:7" ht="15.75" x14ac:dyDescent="0.25">
      <c r="A31" s="8" t="s">
        <v>4</v>
      </c>
      <c r="B31" s="8" t="s">
        <v>22</v>
      </c>
      <c r="C31" s="8" t="s">
        <v>23</v>
      </c>
      <c r="D31" s="24">
        <v>29280</v>
      </c>
      <c r="E31" s="24">
        <v>15198</v>
      </c>
      <c r="F31" s="24">
        <v>15621</v>
      </c>
      <c r="G31" s="24">
        <v>21434</v>
      </c>
    </row>
    <row r="32" spans="1:7" ht="15.75" x14ac:dyDescent="0.25">
      <c r="A32" s="8"/>
      <c r="B32" s="8"/>
      <c r="C32" s="8"/>
      <c r="D32" s="9"/>
      <c r="E32" s="9"/>
      <c r="F32" s="9"/>
      <c r="G32" s="9"/>
    </row>
    <row r="33" spans="1:7" ht="15.75" x14ac:dyDescent="0.25">
      <c r="A33" s="8"/>
      <c r="B33" s="8"/>
      <c r="C33" s="8"/>
      <c r="D33" s="10">
        <f>SUM(D30:D32)</f>
        <v>863760</v>
      </c>
      <c r="E33" s="10">
        <f>SUM(E30:E32)</f>
        <v>717217</v>
      </c>
      <c r="F33" s="10">
        <f>SUM(F30:F32)</f>
        <v>765423</v>
      </c>
      <c r="G33" s="10">
        <f>SUM(G30:G32)</f>
        <v>511499</v>
      </c>
    </row>
    <row r="34" spans="1:7" ht="15.75" x14ac:dyDescent="0.25">
      <c r="A34" s="8"/>
      <c r="B34" s="8"/>
      <c r="C34" s="8"/>
      <c r="D34" s="9"/>
      <c r="E34" s="9"/>
      <c r="F34" s="9"/>
      <c r="G34" s="9"/>
    </row>
    <row r="35" spans="1:7" ht="15.75" x14ac:dyDescent="0.25">
      <c r="A35" s="8" t="s">
        <v>1</v>
      </c>
      <c r="B35" s="8" t="s">
        <v>24</v>
      </c>
      <c r="C35" s="8" t="s">
        <v>25</v>
      </c>
      <c r="D35" s="9">
        <v>351090</v>
      </c>
      <c r="E35" s="9">
        <v>295557</v>
      </c>
      <c r="F35" s="9">
        <v>301500</v>
      </c>
      <c r="G35" s="9">
        <v>166799</v>
      </c>
    </row>
    <row r="36" spans="1:7" ht="15.75" x14ac:dyDescent="0.25">
      <c r="A36" s="8" t="s">
        <v>4</v>
      </c>
      <c r="B36" s="8" t="s">
        <v>24</v>
      </c>
      <c r="C36" s="8" t="s">
        <v>25</v>
      </c>
      <c r="D36" s="9">
        <v>0</v>
      </c>
      <c r="E36" s="9">
        <v>0</v>
      </c>
      <c r="F36" s="9">
        <v>0</v>
      </c>
      <c r="G36" s="9">
        <v>0</v>
      </c>
    </row>
    <row r="37" spans="1:7" ht="15.75" x14ac:dyDescent="0.25">
      <c r="A37" s="8" t="s">
        <v>5</v>
      </c>
      <c r="B37" s="8" t="s">
        <v>24</v>
      </c>
      <c r="C37" s="8" t="s">
        <v>25</v>
      </c>
      <c r="D37" s="9">
        <v>0</v>
      </c>
      <c r="E37" s="9">
        <v>0</v>
      </c>
      <c r="F37" s="9">
        <v>0</v>
      </c>
      <c r="G37" s="9">
        <v>0</v>
      </c>
    </row>
    <row r="38" spans="1:7" ht="15.75" x14ac:dyDescent="0.25">
      <c r="A38" s="8"/>
      <c r="B38" s="8"/>
      <c r="C38" s="8"/>
      <c r="D38" s="9"/>
      <c r="E38" s="9"/>
      <c r="F38" s="9"/>
      <c r="G38" s="9"/>
    </row>
    <row r="39" spans="1:7" s="4" customFormat="1" ht="15.75" x14ac:dyDescent="0.25">
      <c r="A39" s="11"/>
      <c r="B39" s="11"/>
      <c r="C39" s="11"/>
      <c r="D39" s="12">
        <f>D33+D28+D23+D18+D13+D8+SUM(D35:D37)</f>
        <v>41572100</v>
      </c>
      <c r="E39" s="12">
        <f>E33+E28+E23+E18+E13+E8+SUM(E35:E37)</f>
        <v>41672703</v>
      </c>
      <c r="F39" s="12">
        <f>F33+F28+F23+F18+F13+F8+F37+F36+F35</f>
        <v>43174794</v>
      </c>
      <c r="G39" s="12">
        <f>G33+G28+G23+G18+G13+G8+G37+G36+G35</f>
        <v>30074003</v>
      </c>
    </row>
    <row r="40" spans="1:7" s="4" customFormat="1" ht="15.75" x14ac:dyDescent="0.25">
      <c r="A40" s="8"/>
      <c r="B40" s="8"/>
      <c r="C40" s="8"/>
      <c r="D40" s="9"/>
      <c r="E40" s="9"/>
      <c r="F40" s="9"/>
      <c r="G40" s="9"/>
    </row>
    <row r="41" spans="1:7" s="4" customFormat="1" ht="15.75" x14ac:dyDescent="0.25">
      <c r="A41" s="8" t="s">
        <v>1</v>
      </c>
      <c r="B41" s="8" t="s">
        <v>26</v>
      </c>
      <c r="C41" s="8" t="s">
        <v>27</v>
      </c>
      <c r="D41" s="9">
        <v>1291685</v>
      </c>
      <c r="E41" s="9">
        <v>0</v>
      </c>
      <c r="F41" s="9">
        <v>1074666</v>
      </c>
      <c r="G41" s="9"/>
    </row>
    <row r="42" spans="1:7" s="4" customFormat="1" ht="15.75" x14ac:dyDescent="0.25">
      <c r="A42" s="8" t="s">
        <v>1</v>
      </c>
      <c r="B42" s="8" t="s">
        <v>28</v>
      </c>
      <c r="C42" s="8" t="s">
        <v>29</v>
      </c>
      <c r="D42" s="9">
        <v>0</v>
      </c>
      <c r="E42" s="9">
        <v>74899</v>
      </c>
      <c r="F42" s="9"/>
      <c r="G42" s="9">
        <v>41545</v>
      </c>
    </row>
    <row r="43" spans="1:7" s="4" customFormat="1" ht="15.75" x14ac:dyDescent="0.25">
      <c r="A43" s="8" t="s">
        <v>1</v>
      </c>
      <c r="B43" s="8" t="s">
        <v>30</v>
      </c>
      <c r="C43" s="8" t="s">
        <v>31</v>
      </c>
      <c r="D43" s="9">
        <v>0</v>
      </c>
      <c r="E43" s="9">
        <v>1120</v>
      </c>
      <c r="F43" s="9"/>
      <c r="G43" s="9">
        <v>360</v>
      </c>
    </row>
    <row r="44" spans="1:7" s="4" customFormat="1" ht="15.75" x14ac:dyDescent="0.25">
      <c r="A44" s="8" t="s">
        <v>1</v>
      </c>
      <c r="B44" s="8" t="s">
        <v>32</v>
      </c>
      <c r="C44" s="8" t="s">
        <v>33</v>
      </c>
      <c r="D44" s="9">
        <v>2717</v>
      </c>
      <c r="E44" s="9">
        <v>562126</v>
      </c>
      <c r="F44" s="9"/>
      <c r="G44" s="9">
        <v>312468</v>
      </c>
    </row>
    <row r="45" spans="1:7" s="4" customFormat="1" ht="15.75" x14ac:dyDescent="0.25">
      <c r="A45" s="8" t="s">
        <v>1</v>
      </c>
      <c r="B45" s="8" t="s">
        <v>34</v>
      </c>
      <c r="C45" s="8" t="s">
        <v>35</v>
      </c>
      <c r="D45" s="9">
        <v>0</v>
      </c>
      <c r="E45" s="9">
        <v>6763</v>
      </c>
      <c r="F45" s="9"/>
      <c r="G45" s="9">
        <v>5920</v>
      </c>
    </row>
    <row r="46" spans="1:7" s="4" customFormat="1" ht="15.75" x14ac:dyDescent="0.25">
      <c r="A46" s="8" t="s">
        <v>1</v>
      </c>
      <c r="B46" s="8" t="s">
        <v>36</v>
      </c>
      <c r="C46" s="8" t="s">
        <v>37</v>
      </c>
      <c r="D46" s="9">
        <v>0</v>
      </c>
      <c r="E46" s="9">
        <v>209374</v>
      </c>
      <c r="F46" s="9"/>
      <c r="G46" s="9">
        <v>124115</v>
      </c>
    </row>
    <row r="47" spans="1:7" s="4" customFormat="1" ht="15.75" x14ac:dyDescent="0.25">
      <c r="A47" s="8" t="s">
        <v>1</v>
      </c>
      <c r="B47" s="8" t="s">
        <v>38</v>
      </c>
      <c r="C47" s="8" t="s">
        <v>39</v>
      </c>
      <c r="D47" s="9">
        <v>0</v>
      </c>
      <c r="E47" s="9">
        <v>155934</v>
      </c>
      <c r="F47" s="9"/>
      <c r="G47" s="9">
        <v>104750</v>
      </c>
    </row>
    <row r="48" spans="1:7" s="4" customFormat="1" ht="15.75" x14ac:dyDescent="0.25">
      <c r="A48" s="8" t="s">
        <v>1</v>
      </c>
      <c r="B48" s="8" t="s">
        <v>40</v>
      </c>
      <c r="C48" s="8" t="s">
        <v>41</v>
      </c>
      <c r="D48" s="9">
        <v>0</v>
      </c>
      <c r="E48" s="9">
        <v>56940</v>
      </c>
      <c r="F48" s="9"/>
      <c r="G48" s="9">
        <v>16640</v>
      </c>
    </row>
    <row r="49" spans="1:7" s="4" customFormat="1" ht="15.75" x14ac:dyDescent="0.25">
      <c r="A49" s="8" t="s">
        <v>1</v>
      </c>
      <c r="B49" s="8" t="s">
        <v>42</v>
      </c>
      <c r="C49" s="8" t="s">
        <v>43</v>
      </c>
      <c r="D49" s="9">
        <v>0</v>
      </c>
      <c r="E49" s="9">
        <v>2490</v>
      </c>
      <c r="F49" s="9"/>
      <c r="G49" s="9">
        <v>1035</v>
      </c>
    </row>
    <row r="50" spans="1:7" s="4" customFormat="1" ht="15.75" x14ac:dyDescent="0.25">
      <c r="A50" s="8" t="s">
        <v>1</v>
      </c>
      <c r="B50" s="8" t="s">
        <v>44</v>
      </c>
      <c r="C50" s="8" t="s">
        <v>45</v>
      </c>
      <c r="D50" s="9">
        <v>0</v>
      </c>
      <c r="E50" s="9">
        <v>59379</v>
      </c>
      <c r="F50" s="9"/>
      <c r="G50" s="9">
        <v>30811</v>
      </c>
    </row>
    <row r="51" spans="1:7" s="4" customFormat="1" ht="15.75" x14ac:dyDescent="0.25">
      <c r="A51" s="8" t="s">
        <v>1</v>
      </c>
      <c r="B51" s="8" t="s">
        <v>46</v>
      </c>
      <c r="C51" s="8" t="s">
        <v>47</v>
      </c>
      <c r="D51" s="9"/>
      <c r="E51" s="9"/>
      <c r="F51" s="9"/>
      <c r="G51" s="9"/>
    </row>
    <row r="52" spans="1:7" s="4" customFormat="1" ht="15.75" x14ac:dyDescent="0.25">
      <c r="A52" s="8" t="s">
        <v>1</v>
      </c>
      <c r="B52" s="8" t="s">
        <v>48</v>
      </c>
      <c r="C52" s="8" t="s">
        <v>49</v>
      </c>
      <c r="D52" s="9">
        <v>0</v>
      </c>
      <c r="E52" s="9">
        <v>1800</v>
      </c>
      <c r="F52" s="9"/>
      <c r="G52" s="9">
        <v>100</v>
      </c>
    </row>
    <row r="53" spans="1:7" s="4" customFormat="1" ht="15.75" x14ac:dyDescent="0.25">
      <c r="A53" s="8" t="s">
        <v>1</v>
      </c>
      <c r="B53" s="8" t="s">
        <v>50</v>
      </c>
      <c r="C53" s="8" t="s">
        <v>51</v>
      </c>
      <c r="D53" s="9">
        <v>0</v>
      </c>
      <c r="E53" s="9">
        <v>12528</v>
      </c>
      <c r="F53" s="9"/>
      <c r="G53" s="9">
        <v>4569</v>
      </c>
    </row>
    <row r="54" spans="1:7" s="4" customFormat="1" ht="15.75" x14ac:dyDescent="0.25">
      <c r="A54" s="8" t="s">
        <v>1</v>
      </c>
      <c r="B54" s="8" t="s">
        <v>52</v>
      </c>
      <c r="C54" s="8" t="s">
        <v>53</v>
      </c>
      <c r="D54" s="9">
        <v>0</v>
      </c>
      <c r="E54" s="9">
        <v>3275</v>
      </c>
      <c r="F54" s="9"/>
      <c r="G54" s="9">
        <v>5876</v>
      </c>
    </row>
    <row r="55" spans="1:7" s="4" customFormat="1" ht="15.75" x14ac:dyDescent="0.25">
      <c r="A55" s="8" t="s">
        <v>1</v>
      </c>
      <c r="B55" s="8" t="s">
        <v>54</v>
      </c>
      <c r="C55" s="8" t="s">
        <v>55</v>
      </c>
      <c r="D55" s="9"/>
      <c r="E55" s="9"/>
      <c r="F55" s="9"/>
      <c r="G55" s="9"/>
    </row>
    <row r="56" spans="1:7" s="4" customFormat="1" ht="15.75" x14ac:dyDescent="0.25">
      <c r="A56" s="8" t="s">
        <v>1</v>
      </c>
      <c r="B56" s="8" t="s">
        <v>56</v>
      </c>
      <c r="C56" s="8" t="s">
        <v>57</v>
      </c>
      <c r="D56" s="9">
        <v>1000</v>
      </c>
      <c r="E56" s="9">
        <v>6555</v>
      </c>
      <c r="F56" s="9"/>
      <c r="G56" s="9">
        <v>3775</v>
      </c>
    </row>
    <row r="57" spans="1:7" s="4" customFormat="1" ht="15.75" x14ac:dyDescent="0.25">
      <c r="A57" s="8" t="s">
        <v>1</v>
      </c>
      <c r="B57" s="8" t="s">
        <v>58</v>
      </c>
      <c r="C57" s="8" t="s">
        <v>59</v>
      </c>
      <c r="D57" s="24">
        <v>0</v>
      </c>
      <c r="E57" s="24">
        <v>3026</v>
      </c>
      <c r="F57" s="24"/>
      <c r="G57" s="24">
        <v>5113</v>
      </c>
    </row>
    <row r="58" spans="1:7" s="4" customFormat="1" ht="15.75" x14ac:dyDescent="0.25">
      <c r="A58" s="8"/>
      <c r="B58" s="8"/>
      <c r="C58" s="8"/>
      <c r="D58" s="9"/>
      <c r="E58" s="9"/>
      <c r="F58" s="9"/>
      <c r="G58" s="9"/>
    </row>
    <row r="59" spans="1:7" s="4" customFormat="1" ht="15.75" x14ac:dyDescent="0.25">
      <c r="A59" s="8"/>
      <c r="B59" s="8"/>
      <c r="C59" s="8"/>
      <c r="D59" s="9">
        <f>SUM(D41:D57)</f>
        <v>1295402</v>
      </c>
      <c r="E59" s="9">
        <f>SUM(E41:E57)</f>
        <v>1156209</v>
      </c>
      <c r="F59" s="9">
        <f>SUM(F41:F57)</f>
        <v>1074666</v>
      </c>
      <c r="G59" s="9">
        <f>SUM(G41:G57)</f>
        <v>657077</v>
      </c>
    </row>
    <row r="60" spans="1:7" s="4" customFormat="1" ht="15.75" x14ac:dyDescent="0.25">
      <c r="A60" s="8"/>
      <c r="B60" s="8"/>
      <c r="C60" s="8"/>
      <c r="D60" s="9"/>
      <c r="E60" s="9"/>
      <c r="F60" s="9"/>
      <c r="G60" s="9"/>
    </row>
    <row r="61" spans="1:7" s="4" customFormat="1" ht="15.75" x14ac:dyDescent="0.25">
      <c r="A61" s="8" t="s">
        <v>1</v>
      </c>
      <c r="B61" s="8" t="s">
        <v>60</v>
      </c>
      <c r="C61" s="8" t="s">
        <v>61</v>
      </c>
      <c r="D61" s="9"/>
      <c r="E61" s="9"/>
      <c r="F61" s="9"/>
      <c r="G61" s="9"/>
    </row>
    <row r="62" spans="1:7" s="4" customFormat="1" ht="15.75" x14ac:dyDescent="0.25">
      <c r="A62" s="8" t="s">
        <v>1</v>
      </c>
      <c r="B62" s="8" t="s">
        <v>62</v>
      </c>
      <c r="C62" s="8" t="s">
        <v>63</v>
      </c>
      <c r="D62" s="13">
        <v>104840</v>
      </c>
      <c r="E62" s="9">
        <v>32130</v>
      </c>
      <c r="F62" s="9">
        <v>30975</v>
      </c>
      <c r="G62" s="9">
        <v>18516</v>
      </c>
    </row>
    <row r="63" spans="1:7" s="4" customFormat="1" ht="15.75" x14ac:dyDescent="0.25">
      <c r="A63" s="8" t="s">
        <v>1</v>
      </c>
      <c r="B63" s="8" t="s">
        <v>64</v>
      </c>
      <c r="C63" s="8" t="s">
        <v>65</v>
      </c>
      <c r="D63" s="24">
        <v>587023</v>
      </c>
      <c r="E63" s="24">
        <v>685104</v>
      </c>
      <c r="F63" s="24">
        <v>685104</v>
      </c>
      <c r="G63" s="24">
        <v>614395</v>
      </c>
    </row>
    <row r="64" spans="1:7" s="4" customFormat="1" ht="15.75" x14ac:dyDescent="0.25">
      <c r="A64" s="8"/>
      <c r="B64" s="8"/>
      <c r="C64" s="8"/>
      <c r="D64" s="9"/>
      <c r="E64" s="9"/>
      <c r="F64" s="9"/>
      <c r="G64" s="9"/>
    </row>
    <row r="65" spans="1:7" s="4" customFormat="1" ht="15.75" x14ac:dyDescent="0.25">
      <c r="A65" s="8"/>
      <c r="B65" s="8"/>
      <c r="C65" s="8"/>
      <c r="D65" s="9"/>
      <c r="E65" s="9"/>
      <c r="F65" s="9"/>
      <c r="G65" s="9"/>
    </row>
    <row r="66" spans="1:7" s="4" customFormat="1" ht="15.75" x14ac:dyDescent="0.25">
      <c r="A66" s="11"/>
      <c r="B66" s="11"/>
      <c r="C66" s="11"/>
      <c r="D66" s="12">
        <f>SUM(D59:D65)</f>
        <v>1987265</v>
      </c>
      <c r="E66" s="12">
        <f>SUM(E59:E65)</f>
        <v>1873443</v>
      </c>
      <c r="F66" s="12">
        <f>SUM(F59:F65)</f>
        <v>1790745</v>
      </c>
      <c r="G66" s="12">
        <f>SUM(G59:G65)</f>
        <v>1289988</v>
      </c>
    </row>
    <row r="67" spans="1:7" s="4" customFormat="1" ht="15.75" x14ac:dyDescent="0.25">
      <c r="A67" s="14"/>
      <c r="B67" s="14"/>
      <c r="C67" s="14"/>
      <c r="D67" s="9"/>
      <c r="E67" s="9"/>
      <c r="F67" s="9"/>
      <c r="G67" s="9"/>
    </row>
    <row r="68" spans="1:7" s="4" customFormat="1" ht="15.75" x14ac:dyDescent="0.25">
      <c r="A68" s="8"/>
      <c r="B68" s="8"/>
      <c r="C68" s="8"/>
      <c r="D68" s="9"/>
      <c r="E68" s="9"/>
      <c r="F68" s="9"/>
      <c r="G68" s="9"/>
    </row>
    <row r="69" spans="1:7" s="4" customFormat="1" ht="15.75" x14ac:dyDescent="0.25">
      <c r="A69" s="8" t="s">
        <v>1</v>
      </c>
      <c r="B69" s="8" t="s">
        <v>66</v>
      </c>
      <c r="C69" s="8" t="s">
        <v>67</v>
      </c>
      <c r="D69" s="9">
        <v>-2797496</v>
      </c>
      <c r="E69" s="9">
        <v>-2907095</v>
      </c>
      <c r="F69" s="9"/>
      <c r="G69" s="9">
        <v>-1031134</v>
      </c>
    </row>
    <row r="70" spans="1:7" s="4" customFormat="1" ht="15.75" x14ac:dyDescent="0.25">
      <c r="A70" s="8" t="s">
        <v>1</v>
      </c>
      <c r="B70" s="8" t="s">
        <v>68</v>
      </c>
      <c r="C70" s="8" t="s">
        <v>69</v>
      </c>
      <c r="D70" s="9">
        <v>-57000</v>
      </c>
      <c r="E70" s="9">
        <v>-57000</v>
      </c>
      <c r="F70" s="9"/>
      <c r="G70" s="9">
        <v>-11410</v>
      </c>
    </row>
    <row r="71" spans="1:7" s="4" customFormat="1" ht="15.75" x14ac:dyDescent="0.25">
      <c r="A71" s="8" t="s">
        <v>1</v>
      </c>
      <c r="B71" s="8" t="s">
        <v>70</v>
      </c>
      <c r="C71" s="8" t="s">
        <v>71</v>
      </c>
      <c r="D71" s="9">
        <v>-123000</v>
      </c>
      <c r="E71" s="9">
        <v>-122976</v>
      </c>
      <c r="F71" s="9"/>
      <c r="G71" s="9">
        <v>-41000</v>
      </c>
    </row>
    <row r="72" spans="1:7" s="4" customFormat="1" ht="15.75" x14ac:dyDescent="0.25">
      <c r="A72" s="8" t="s">
        <v>1</v>
      </c>
      <c r="B72" s="8" t="s">
        <v>72</v>
      </c>
      <c r="C72" s="8" t="s">
        <v>73</v>
      </c>
      <c r="D72" s="9">
        <v>-20000</v>
      </c>
      <c r="E72" s="9">
        <v>-40629</v>
      </c>
      <c r="F72" s="9"/>
      <c r="G72" s="9">
        <v>-15381</v>
      </c>
    </row>
    <row r="73" spans="1:7" s="4" customFormat="1" ht="15.75" x14ac:dyDescent="0.25">
      <c r="A73" s="8" t="s">
        <v>1</v>
      </c>
      <c r="B73" s="8" t="s">
        <v>74</v>
      </c>
      <c r="C73" s="8" t="s">
        <v>75</v>
      </c>
      <c r="D73" s="9">
        <v>-20000</v>
      </c>
      <c r="E73" s="9">
        <v>-27163</v>
      </c>
      <c r="F73" s="9"/>
      <c r="G73" s="9">
        <v>-17054</v>
      </c>
    </row>
    <row r="74" spans="1:7" s="4" customFormat="1" ht="15.75" x14ac:dyDescent="0.25">
      <c r="A74" s="8" t="s">
        <v>1</v>
      </c>
      <c r="B74" s="8" t="s">
        <v>76</v>
      </c>
      <c r="C74" s="15" t="s">
        <v>77</v>
      </c>
      <c r="D74" s="16">
        <v>-10000</v>
      </c>
      <c r="E74" s="16">
        <v>0</v>
      </c>
      <c r="F74" s="16"/>
      <c r="G74" s="9">
        <v>-5142</v>
      </c>
    </row>
    <row r="75" spans="1:7" s="4" customFormat="1" ht="15.75" x14ac:dyDescent="0.25">
      <c r="A75" s="8" t="s">
        <v>1</v>
      </c>
      <c r="B75" s="8" t="s">
        <v>78</v>
      </c>
      <c r="C75" s="15" t="s">
        <v>79</v>
      </c>
      <c r="D75" s="16">
        <v>-90000</v>
      </c>
      <c r="E75" s="16">
        <v>-102116</v>
      </c>
      <c r="F75" s="16"/>
      <c r="G75" s="9">
        <v>-42405</v>
      </c>
    </row>
    <row r="76" spans="1:7" s="4" customFormat="1" ht="15.75" x14ac:dyDescent="0.25">
      <c r="A76" s="8" t="s">
        <v>1</v>
      </c>
      <c r="B76" s="8" t="s">
        <v>80</v>
      </c>
      <c r="C76" s="15" t="s">
        <v>81</v>
      </c>
      <c r="D76" s="16">
        <v>-5500</v>
      </c>
      <c r="E76" s="16">
        <v>0</v>
      </c>
      <c r="F76" s="16"/>
      <c r="G76" s="9">
        <v>0</v>
      </c>
    </row>
    <row r="77" spans="1:7" s="4" customFormat="1" ht="15.75" x14ac:dyDescent="0.25">
      <c r="A77" s="8" t="s">
        <v>1</v>
      </c>
      <c r="B77" s="8" t="s">
        <v>82</v>
      </c>
      <c r="C77" s="15" t="s">
        <v>83</v>
      </c>
      <c r="D77" s="16">
        <v>-4000</v>
      </c>
      <c r="E77" s="16">
        <v>-2000</v>
      </c>
      <c r="F77" s="16"/>
      <c r="G77" s="9">
        <v>0</v>
      </c>
    </row>
    <row r="78" spans="1:7" s="4" customFormat="1" ht="15.75" x14ac:dyDescent="0.25">
      <c r="A78" s="8" t="s">
        <v>1</v>
      </c>
      <c r="B78" s="8" t="s">
        <v>84</v>
      </c>
      <c r="C78" s="8" t="s">
        <v>85</v>
      </c>
      <c r="D78" s="9">
        <v>-1075500</v>
      </c>
      <c r="E78" s="9">
        <v>-952238</v>
      </c>
      <c r="F78" s="9"/>
      <c r="G78" s="9">
        <v>-285973</v>
      </c>
    </row>
    <row r="79" spans="1:7" s="4" customFormat="1" ht="15.75" x14ac:dyDescent="0.25">
      <c r="A79" s="8" t="s">
        <v>1</v>
      </c>
      <c r="B79" s="8" t="s">
        <v>86</v>
      </c>
      <c r="C79" s="8" t="s">
        <v>87</v>
      </c>
      <c r="D79" s="9">
        <v>-2000</v>
      </c>
      <c r="E79" s="9">
        <v>-7335</v>
      </c>
      <c r="F79" s="9"/>
      <c r="G79" s="9">
        <v>-4143</v>
      </c>
    </row>
    <row r="80" spans="1:7" s="4" customFormat="1" ht="15.75" x14ac:dyDescent="0.25">
      <c r="A80" s="11"/>
      <c r="B80" s="11"/>
      <c r="C80" s="17"/>
      <c r="D80" s="12">
        <f>SUM(D69:D79)</f>
        <v>-4204496</v>
      </c>
      <c r="E80" s="12">
        <f>SUM(E69:E79)</f>
        <v>-4218552</v>
      </c>
      <c r="F80" s="12">
        <v>-4940000</v>
      </c>
      <c r="G80" s="12">
        <f>SUM(G69:G79)</f>
        <v>-1453642</v>
      </c>
    </row>
    <row r="81" spans="1:7" s="4" customFormat="1" ht="15.75" x14ac:dyDescent="0.25">
      <c r="A81" s="8"/>
      <c r="B81" s="8"/>
      <c r="C81" s="8"/>
      <c r="D81" s="18">
        <f>D80/D39</f>
        <v>-0.10113744554641213</v>
      </c>
      <c r="E81" s="18">
        <f t="shared" ref="E81:F81" si="0">E80/E39</f>
        <v>-0.10123058252304871</v>
      </c>
      <c r="F81" s="18">
        <f t="shared" si="0"/>
        <v>-0.11441861193362034</v>
      </c>
      <c r="G81" s="9"/>
    </row>
    <row r="82" spans="1:7" ht="15.75" x14ac:dyDescent="0.25">
      <c r="A82" s="8"/>
      <c r="B82" s="8"/>
      <c r="C82" s="8"/>
      <c r="D82" s="9"/>
      <c r="E82" s="9"/>
      <c r="F82" s="9"/>
      <c r="G82" s="9"/>
    </row>
    <row r="83" spans="1:7" s="4" customFormat="1" ht="15.75" x14ac:dyDescent="0.25">
      <c r="A83" s="8"/>
      <c r="B83" s="8"/>
      <c r="C83" s="8"/>
      <c r="D83" s="9"/>
      <c r="E83" s="19"/>
      <c r="F83" s="19"/>
      <c r="G83" s="9"/>
    </row>
    <row r="84" spans="1:7" s="4" customFormat="1" ht="15.75" x14ac:dyDescent="0.25">
      <c r="A84" s="11"/>
      <c r="B84" s="11"/>
      <c r="C84" s="11"/>
      <c r="D84" s="12">
        <f>D39+D66</f>
        <v>43559365</v>
      </c>
      <c r="E84" s="12">
        <f>E39+E66</f>
        <v>43546146</v>
      </c>
      <c r="F84" s="12">
        <f>F39+F66</f>
        <v>44965539</v>
      </c>
      <c r="G84" s="12">
        <f>G39+G66</f>
        <v>31363991</v>
      </c>
    </row>
    <row r="85" spans="1:7" s="4" customFormat="1" ht="15.75" x14ac:dyDescent="0.25">
      <c r="A85" s="8"/>
      <c r="B85" s="8"/>
      <c r="C85" s="8"/>
      <c r="D85" s="9"/>
      <c r="E85" s="9"/>
      <c r="F85" s="9"/>
      <c r="G85" s="9"/>
    </row>
    <row r="86" spans="1:7" s="4" customFormat="1" ht="15.75" x14ac:dyDescent="0.25">
      <c r="A86" s="11"/>
      <c r="B86" s="11"/>
      <c r="C86" s="11"/>
      <c r="D86" s="12">
        <f>D84+D80</f>
        <v>39354869</v>
      </c>
      <c r="E86" s="12">
        <f>E84+E80</f>
        <v>39327594</v>
      </c>
      <c r="F86" s="12">
        <f>F84+F80</f>
        <v>40025539</v>
      </c>
      <c r="G86" s="12">
        <f>G84+G80</f>
        <v>29910349</v>
      </c>
    </row>
    <row r="87" spans="1:7" ht="15.75" x14ac:dyDescent="0.25">
      <c r="A87" s="8"/>
      <c r="B87" s="8"/>
      <c r="C87" s="8"/>
      <c r="D87" s="9"/>
      <c r="E87" s="9"/>
      <c r="F87" s="9"/>
      <c r="G87" s="9"/>
    </row>
    <row r="88" spans="1:7" ht="15.75" x14ac:dyDescent="0.25">
      <c r="A88" s="8"/>
      <c r="B88" s="8"/>
      <c r="C88" s="8"/>
      <c r="D88" s="9"/>
      <c r="E88" s="9"/>
      <c r="F88" s="9"/>
      <c r="G88" s="9"/>
    </row>
  </sheetData>
  <pageMargins left="0.7" right="0.7" top="0.75" bottom="0.75" header="0.3" footer="0.3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Tuition Projection FY 19</vt:lpstr>
      <vt:lpstr>Tuition Analysis (2)</vt:lpstr>
      <vt:lpstr>Tuition Revenue Projection</vt:lpstr>
      <vt:lpstr>'Tuition Analysis (2)'!Print_Area</vt:lpstr>
      <vt:lpstr>'Tuition Analysis (2)'!Print_Titles</vt:lpstr>
    </vt:vector>
  </TitlesOfParts>
  <Company>Western Oregon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Western Oregon University</dc:creator>
  <cp:lastModifiedBy>Windows User</cp:lastModifiedBy>
  <cp:lastPrinted>2018-02-09T18:06:30Z</cp:lastPrinted>
  <dcterms:created xsi:type="dcterms:W3CDTF">2018-01-29T23:37:54Z</dcterms:created>
  <dcterms:modified xsi:type="dcterms:W3CDTF">2018-02-15T21:24:43Z</dcterms:modified>
</cp:coreProperties>
</file>